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30" windowWidth="15480" windowHeight="7665" tabRatio="740" firstSheet="37" activeTab="48"/>
  </bookViews>
  <sheets>
    <sheet name="Sheet1" sheetId="1" r:id="rId1"/>
    <sheet name="表20" sheetId="2" r:id="rId2"/>
    <sheet name="表21" sheetId="3" r:id="rId3"/>
    <sheet name="表22" sheetId="4" r:id="rId4"/>
    <sheet name="表23" sheetId="5" r:id="rId5"/>
    <sheet name="表24" sheetId="6" r:id="rId6"/>
    <sheet name="表24(續1)" sheetId="7" r:id="rId7"/>
    <sheet name="表24(續2)" sheetId="8" r:id="rId8"/>
    <sheet name="表24(續完)" sheetId="9" r:id="rId9"/>
    <sheet name="表25" sheetId="10" r:id="rId10"/>
    <sheet name="表25(續1)" sheetId="11" r:id="rId11"/>
    <sheet name="表25(續完)" sheetId="12" r:id="rId12"/>
    <sheet name="表26" sheetId="13" r:id="rId13"/>
    <sheet name="表26(續1)" sheetId="14" r:id="rId14"/>
    <sheet name="表26(續完)" sheetId="15" r:id="rId15"/>
    <sheet name="表27" sheetId="16" r:id="rId16"/>
    <sheet name="表27(續1)" sheetId="17" r:id="rId17"/>
    <sheet name="表27(續完)" sheetId="18" r:id="rId18"/>
    <sheet name="表28" sheetId="19" r:id="rId19"/>
    <sheet name="表28(續1)" sheetId="20" r:id="rId20"/>
    <sheet name="表28(續完)" sheetId="21" r:id="rId21"/>
    <sheet name="表29" sheetId="22" r:id="rId22"/>
    <sheet name="表29(續完)" sheetId="23" r:id="rId23"/>
    <sheet name="表30" sheetId="24" r:id="rId24"/>
    <sheet name="表30(續完)" sheetId="25" r:id="rId25"/>
    <sheet name="表31" sheetId="26" r:id="rId26"/>
    <sheet name="表31(續1)" sheetId="27" r:id="rId27"/>
    <sheet name="表31(續完)" sheetId="28" r:id="rId28"/>
    <sheet name="表32" sheetId="29" r:id="rId29"/>
    <sheet name="表32(續1)" sheetId="30" r:id="rId30"/>
    <sheet name="表32(續2)" sheetId="31" r:id="rId31"/>
    <sheet name="表32(續3)" sheetId="32" r:id="rId32"/>
    <sheet name="表32(續4)" sheetId="33" r:id="rId33"/>
    <sheet name="表32(續5)" sheetId="34" r:id="rId34"/>
    <sheet name="表32(續6)" sheetId="35" r:id="rId35"/>
    <sheet name="表32(續7)" sheetId="36" r:id="rId36"/>
    <sheet name="表32(續8)" sheetId="37" r:id="rId37"/>
    <sheet name="表32(續9)" sheetId="38" r:id="rId38"/>
    <sheet name="表32(續10)" sheetId="39" r:id="rId39"/>
    <sheet name="表32(續11)" sheetId="40" r:id="rId40"/>
    <sheet name="表32(續12)" sheetId="41" r:id="rId41"/>
    <sheet name="表32(續完)" sheetId="42" r:id="rId42"/>
    <sheet name="表32(續14)" sheetId="43" state="hidden" r:id="rId43"/>
    <sheet name="表32(續15)" sheetId="44" state="hidden" r:id="rId44"/>
    <sheet name="表32(續16)" sheetId="45" state="hidden" r:id="rId45"/>
    <sheet name="表33" sheetId="46" r:id="rId46"/>
    <sheet name="表33(續1)" sheetId="47" r:id="rId47"/>
    <sheet name="表33(續2)" sheetId="48" r:id="rId48"/>
    <sheet name="表33(續完)" sheetId="49" r:id="rId49"/>
    <sheet name="表33(續4)" sheetId="50" state="hidden" r:id="rId50"/>
    <sheet name="表33(續5)" sheetId="51" state="hidden" r:id="rId51"/>
    <sheet name="表34" sheetId="52" r:id="rId52"/>
    <sheet name="表34(續1)" sheetId="53" r:id="rId53"/>
    <sheet name="表34(續完)" sheetId="54" r:id="rId54"/>
    <sheet name="表34(續3)" sheetId="55" state="hidden" r:id="rId55"/>
    <sheet name="表35" sheetId="56" r:id="rId56"/>
    <sheet name="表36" sheetId="57" r:id="rId57"/>
    <sheet name="表36(續1)" sheetId="58" r:id="rId58"/>
    <sheet name="表36(續2)" sheetId="59" r:id="rId59"/>
    <sheet name="表36(續3)" sheetId="60" r:id="rId60"/>
    <sheet name="表36(續完)" sheetId="61" r:id="rId61"/>
    <sheet name="表36(續5)" sheetId="62" state="hidden" r:id="rId62"/>
    <sheet name="表36(續6)" sheetId="63" state="hidden" r:id="rId63"/>
    <sheet name="表37" sheetId="64" r:id="rId64"/>
    <sheet name="表38" sheetId="65" r:id="rId65"/>
  </sheets>
  <externalReferences>
    <externalReference r:id="rId68"/>
  </externalReference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<sst xmlns="http://schemas.openxmlformats.org/spreadsheetml/2006/main" count="4772" uniqueCount="1012">
  <si>
    <r>
      <t xml:space="preserve">  </t>
    </r>
    <r>
      <rPr>
        <sz val="10"/>
        <rFont val="標楷體"/>
        <family val="4"/>
      </rPr>
      <t xml:space="preserve">社會福利工作人員
</t>
    </r>
    <r>
      <rPr>
        <sz val="10"/>
        <rFont val="Times New Roman"/>
        <family val="1"/>
      </rPr>
      <t xml:space="preserve">  Social Welfare Workers</t>
    </r>
  </si>
  <si>
    <r>
      <t xml:space="preserve">  </t>
    </r>
    <r>
      <rPr>
        <sz val="10"/>
        <rFont val="標楷體"/>
        <family val="4"/>
      </rPr>
      <t xml:space="preserve">國防部文職人員
</t>
    </r>
    <r>
      <rPr>
        <sz val="10"/>
        <rFont val="Times New Roman"/>
        <family val="1"/>
      </rPr>
      <t xml:space="preserve">  Ministry of Defense
  Administrative Personnel</t>
    </r>
  </si>
  <si>
    <r>
      <t xml:space="preserve">  </t>
    </r>
    <r>
      <rPr>
        <sz val="10"/>
        <rFont val="標楷體"/>
        <family val="4"/>
      </rPr>
      <t xml:space="preserve">水利人員及水土保持人員
</t>
    </r>
    <r>
      <rPr>
        <sz val="10"/>
        <rFont val="Times New Roman"/>
        <family val="1"/>
      </rPr>
      <t xml:space="preserve">  Hydrology Personnel and  Water 
  &amp; Soil Preservation Personnel</t>
    </r>
  </si>
  <si>
    <r>
      <t xml:space="preserve">  </t>
    </r>
    <r>
      <rPr>
        <sz val="10"/>
        <rFont val="標楷體"/>
        <family val="4"/>
      </rPr>
      <t xml:space="preserve">交通事業郵政人員
</t>
    </r>
    <r>
      <rPr>
        <sz val="10"/>
        <rFont val="Times New Roman"/>
        <family val="1"/>
      </rPr>
      <t xml:space="preserve">  Transportation
  Enterprise Postal
  Personnel</t>
    </r>
  </si>
  <si>
    <r>
      <t xml:space="preserve">  </t>
    </r>
    <r>
      <rPr>
        <sz val="10"/>
        <rFont val="標楷體"/>
        <family val="4"/>
      </rPr>
      <t>身心障礙人員</t>
    </r>
    <r>
      <rPr>
        <sz val="10"/>
        <rFont val="Times New Roman"/>
        <family val="1"/>
      </rPr>
      <t xml:space="preserve"> The Disabled</t>
    </r>
  </si>
  <si>
    <r>
      <t xml:space="preserve">  </t>
    </r>
    <r>
      <rPr>
        <sz val="10"/>
        <rFont val="標楷體"/>
        <family val="4"/>
      </rPr>
      <t>原住民族人員</t>
    </r>
    <r>
      <rPr>
        <sz val="10"/>
        <rFont val="Times New Roman"/>
        <family val="1"/>
      </rPr>
      <t xml:space="preserve"> Indigenous Peoples</t>
    </r>
  </si>
  <si>
    <r>
      <t xml:space="preserve">  </t>
    </r>
    <r>
      <rPr>
        <sz val="10"/>
        <rFont val="標楷體"/>
        <family val="4"/>
      </rPr>
      <t>關務人員</t>
    </r>
    <r>
      <rPr>
        <sz val="10"/>
        <rFont val="Times New Roman"/>
        <family val="1"/>
      </rPr>
      <t xml:space="preserve">    Customs Officers</t>
    </r>
  </si>
  <si>
    <r>
      <t xml:space="preserve">  </t>
    </r>
    <r>
      <rPr>
        <sz val="10"/>
        <rFont val="標楷體"/>
        <family val="4"/>
      </rPr>
      <t xml:space="preserve">稅務金融人員
</t>
    </r>
    <r>
      <rPr>
        <sz val="10"/>
        <rFont val="Times New Roman"/>
        <family val="1"/>
      </rPr>
      <t xml:space="preserve">  Taxes and Finance Personnel</t>
    </r>
  </si>
  <si>
    <r>
      <t xml:space="preserve">  </t>
    </r>
    <r>
      <rPr>
        <sz val="10"/>
        <rFont val="標楷體"/>
        <family val="4"/>
      </rPr>
      <t xml:space="preserve">國際經濟商務人員
</t>
    </r>
    <r>
      <rPr>
        <sz val="10"/>
        <rFont val="Times New Roman"/>
        <family val="1"/>
      </rPr>
      <t xml:space="preserve">  International Trade
  Officers</t>
    </r>
  </si>
  <si>
    <r>
      <rPr>
        <sz val="10"/>
        <rFont val="標楷體"/>
        <family val="4"/>
      </rPr>
      <t>　　基層行政警察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四等</t>
    </r>
    <r>
      <rPr>
        <sz val="10"/>
        <rFont val="Times New Roman"/>
        <family val="1"/>
      </rPr>
      <t>)
      Basic Administration
      Police officers</t>
    </r>
  </si>
  <si>
    <r>
      <t xml:space="preserve">  </t>
    </r>
    <r>
      <rPr>
        <sz val="10"/>
        <rFont val="標楷體"/>
        <family val="4"/>
      </rPr>
      <t xml:space="preserve">法務部調查局調查人員
</t>
    </r>
    <r>
      <rPr>
        <sz val="10"/>
        <rFont val="Times New Roman"/>
        <family val="1"/>
      </rPr>
      <t xml:space="preserve">  Investigative Agents of
  the Investigation
  Bureau, Ministry of Justice</t>
    </r>
  </si>
  <si>
    <r>
      <t xml:space="preserve">  </t>
    </r>
    <r>
      <rPr>
        <sz val="10"/>
        <rFont val="標楷體"/>
        <family val="4"/>
      </rPr>
      <t xml:space="preserve">國家安全局國家安全情報人員
</t>
    </r>
    <r>
      <rPr>
        <sz val="10"/>
        <rFont val="Times New Roman"/>
        <family val="1"/>
      </rPr>
      <t xml:space="preserve">  National Security
  Agents and Intelligence
  Agents of the National
  Security Bureau</t>
    </r>
  </si>
  <si>
    <r>
      <t xml:space="preserve">  </t>
    </r>
    <r>
      <rPr>
        <sz val="10"/>
        <rFont val="標楷體"/>
        <family val="4"/>
      </rPr>
      <t>地方政府公務人員</t>
    </r>
    <r>
      <rPr>
        <sz val="10"/>
        <rFont val="Times New Roman"/>
        <family val="1"/>
      </rPr>
      <t xml:space="preserve"> 
  Local Government Civil
  Servants </t>
    </r>
  </si>
  <si>
    <r>
      <t xml:space="preserve">  </t>
    </r>
    <r>
      <rPr>
        <sz val="10"/>
        <rFont val="標楷體"/>
        <family val="4"/>
      </rPr>
      <t>司法人員</t>
    </r>
    <r>
      <rPr>
        <sz val="10"/>
        <rFont val="Times New Roman"/>
        <family val="1"/>
      </rPr>
      <t>Judicial Personnel</t>
    </r>
  </si>
  <si>
    <r>
      <t xml:space="preserve">     -</t>
    </r>
    <r>
      <rPr>
        <sz val="10"/>
        <rFont val="標楷體"/>
        <family val="4"/>
      </rPr>
      <t>司法官</t>
    </r>
    <r>
      <rPr>
        <sz val="10"/>
        <rFont val="Times New Roman"/>
        <family val="1"/>
      </rPr>
      <t xml:space="preserve"> Judicial Officers</t>
    </r>
  </si>
  <si>
    <t>說明：同表31。</t>
  </si>
  <si>
    <t>Note: As  indicated in Table 31.</t>
  </si>
  <si>
    <t>說明：同表31。</t>
  </si>
  <si>
    <t xml:space="preserve">表 24　各項訓練訓期 (續1) </t>
  </si>
  <si>
    <r>
      <rPr>
        <sz val="10"/>
        <rFont val="標楷體"/>
        <family val="4"/>
      </rPr>
      <t xml:space="preserve">　交通事業人員員級晉升高員級資位
</t>
    </r>
    <r>
      <rPr>
        <sz val="10"/>
        <rFont val="Times New Roman"/>
        <family val="1"/>
      </rPr>
      <t xml:space="preserve">    Transportation Enterprise
    Officer to Senior Officer
    Rank Promotion</t>
    </r>
  </si>
  <si>
    <r>
      <t>4.</t>
    </r>
    <r>
      <rPr>
        <sz val="10"/>
        <rFont val="標楷體"/>
        <family val="4"/>
      </rPr>
      <t xml:space="preserve">公務人員行政中立訓練
</t>
    </r>
    <r>
      <rPr>
        <sz val="10"/>
        <rFont val="Times New Roman"/>
        <family val="1"/>
      </rPr>
      <t xml:space="preserve">  Administrative Neutrality
  Training</t>
    </r>
  </si>
  <si>
    <r>
      <t xml:space="preserve">  </t>
    </r>
    <r>
      <rPr>
        <sz val="10"/>
        <rFont val="標楷體"/>
        <family val="4"/>
      </rPr>
      <t>人事主管人員</t>
    </r>
    <r>
      <rPr>
        <sz val="9"/>
        <rFont val="Times New Roman"/>
        <family val="1"/>
      </rPr>
      <t xml:space="preserve"> Personnel Executives</t>
    </r>
  </si>
  <si>
    <r>
      <t xml:space="preserve">  </t>
    </r>
    <r>
      <rPr>
        <sz val="10"/>
        <rFont val="標楷體"/>
        <family val="4"/>
      </rPr>
      <t xml:space="preserve">兼辦人事業務人員
</t>
    </r>
    <r>
      <rPr>
        <sz val="10"/>
        <rFont val="Times New Roman"/>
        <family val="1"/>
      </rPr>
      <t xml:space="preserve">  Part-Time Personnel Officials</t>
    </r>
  </si>
  <si>
    <r>
      <rPr>
        <sz val="10"/>
        <rFont val="標楷體"/>
        <family val="4"/>
      </rPr>
      <t xml:space="preserve">　薦任非主管人員
</t>
    </r>
    <r>
      <rPr>
        <sz val="10"/>
        <rFont val="Times New Roman"/>
        <family val="1"/>
      </rPr>
      <t xml:space="preserve">    Junior Rank Non-Executives</t>
    </r>
  </si>
  <si>
    <r>
      <rPr>
        <sz val="10"/>
        <rFont val="標楷體"/>
        <family val="4"/>
      </rPr>
      <t xml:space="preserve">　委任非主管人員
</t>
    </r>
    <r>
      <rPr>
        <sz val="10"/>
        <rFont val="Times New Roman"/>
        <family val="1"/>
      </rPr>
      <t xml:space="preserve">    Elementary Rank Non-Executives</t>
    </r>
  </si>
  <si>
    <r>
      <rPr>
        <sz val="10"/>
        <rFont val="標楷體"/>
        <family val="4"/>
      </rPr>
      <t xml:space="preserve">　初任各官等主管人員
</t>
    </r>
    <r>
      <rPr>
        <sz val="10"/>
        <rFont val="Times New Roman"/>
        <family val="1"/>
      </rPr>
      <t xml:space="preserve">    Newly Appointed Managers of
    all Ranks</t>
    </r>
  </si>
  <si>
    <t>表 38　員額配置</t>
  </si>
  <si>
    <r>
      <rPr>
        <sz val="11"/>
        <rFont val="標楷體"/>
        <family val="4"/>
      </rPr>
      <t>－按各訓練占各類別小計百分比分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</si>
  <si>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29</t>
    </r>
    <r>
      <rPr>
        <sz val="14"/>
        <rFont val="標楷體"/>
        <family val="4"/>
      </rPr>
      <t>　各項訓練學員平均年齡</t>
    </r>
  </si>
  <si>
    <r>
      <t xml:space="preserve">  </t>
    </r>
    <r>
      <rPr>
        <sz val="10"/>
        <rFont val="標楷體"/>
        <family val="4"/>
      </rPr>
      <t xml:space="preserve">臺灣省及福建省基層公務人員
</t>
    </r>
    <r>
      <rPr>
        <sz val="10"/>
        <rFont val="Times New Roman"/>
        <family val="1"/>
      </rPr>
      <t xml:space="preserve">  Taiwan Province and
  Fuchien Province Entry-
  level Civil Servants</t>
    </r>
  </si>
  <si>
    <r>
      <t xml:space="preserve">  </t>
    </r>
    <r>
      <rPr>
        <sz val="10"/>
        <rFont val="標楷體"/>
        <family val="4"/>
      </rPr>
      <t xml:space="preserve">台北市政府基層公務人員
</t>
    </r>
    <r>
      <rPr>
        <sz val="10"/>
        <rFont val="Times New Roman"/>
        <family val="1"/>
      </rPr>
      <t xml:space="preserve">  Taipei municipal government 
  Entry-Level Civil Servants</t>
    </r>
  </si>
  <si>
    <t>資料來源：行政院人事行政總處之公務人員終身學習入口網站資料庫</t>
  </si>
  <si>
    <t>說明：1.現有人員272,074人，其中男158,164人，女113,910人。惟不含退休和離職人員，及教育、交通(交通部臺灣區國道高速公路局、</t>
  </si>
  <si>
    <t xml:space="preserve">           3.The number of training hours for personnel newly passed the civil service Examination is not included on-the-job training hours.</t>
  </si>
  <si>
    <t>Source: As  indicated in Table 20.</t>
  </si>
  <si>
    <r>
      <t xml:space="preserve">             3.98</t>
    </r>
    <r>
      <rPr>
        <sz val="10"/>
        <rFont val="標楷體"/>
        <family val="4"/>
      </rPr>
      <t>年起國家安全局國家安全情報人員考試訓期，三等為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年，並新設五等考試，訓期為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個月。</t>
    </r>
    <r>
      <rPr>
        <sz val="10"/>
        <rFont val="Times New Roman"/>
        <family val="1"/>
      </rPr>
      <t xml:space="preserve"> </t>
    </r>
  </si>
  <si>
    <r>
      <t>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3)</t>
    </r>
  </si>
  <si>
    <r>
      <t>5</t>
    </r>
    <r>
      <rPr>
        <sz val="11"/>
        <rFont val="標楷體"/>
        <family val="4"/>
      </rPr>
      <t>週</t>
    </r>
  </si>
  <si>
    <r>
      <t xml:space="preserve">  </t>
    </r>
    <r>
      <rPr>
        <sz val="10"/>
        <rFont val="標楷體"/>
        <family val="4"/>
      </rPr>
      <t xml:space="preserve">臺北市政府基層公務人員
</t>
    </r>
    <r>
      <rPr>
        <sz val="10"/>
        <rFont val="Times New Roman"/>
        <family val="1"/>
      </rPr>
      <t xml:space="preserve">  Taipei municipal government 
  Entry-Level Civil Servants</t>
    </r>
  </si>
  <si>
    <r>
      <t xml:space="preserve">  </t>
    </r>
    <r>
      <rPr>
        <sz val="10"/>
        <rFont val="標楷體"/>
        <family val="4"/>
      </rPr>
      <t xml:space="preserve">臺北市政府基層公務人員
</t>
    </r>
    <r>
      <rPr>
        <sz val="10"/>
        <rFont val="Times New Roman"/>
        <family val="1"/>
      </rPr>
      <t xml:space="preserve">  Taipei municipal government 
  Entry-Level Civil Servants</t>
    </r>
  </si>
  <si>
    <t>-</t>
  </si>
  <si>
    <t>-</t>
  </si>
  <si>
    <t>-</t>
  </si>
  <si>
    <t>100.0</t>
  </si>
  <si>
    <t>-</t>
  </si>
  <si>
    <t>-</t>
  </si>
  <si>
    <r>
      <t xml:space="preserve">  </t>
    </r>
    <r>
      <rPr>
        <sz val="10"/>
        <rFont val="標楷體"/>
        <family val="4"/>
      </rPr>
      <t xml:space="preserve">臺北市政府基層公務人員
</t>
    </r>
    <r>
      <rPr>
        <sz val="10"/>
        <rFont val="Times New Roman"/>
        <family val="1"/>
      </rPr>
      <t xml:space="preserve">  Taipei municipal government 
  Entry-Level Civil Servants</t>
    </r>
  </si>
  <si>
    <t>Table 29 Average Age in Each Category of Training Participants (Cont. End)</t>
  </si>
  <si>
    <r>
      <t xml:space="preserve">  </t>
    </r>
    <r>
      <rPr>
        <sz val="9"/>
        <rFont val="標楷體"/>
        <family val="4"/>
      </rPr>
      <t xml:space="preserve">臺北市政府基層公務人員
</t>
    </r>
    <r>
      <rPr>
        <sz val="9"/>
        <rFont val="Times New Roman"/>
        <family val="1"/>
      </rPr>
      <t xml:space="preserve">  Taipei municipal government 
  Entry-Level Civil Servants</t>
    </r>
  </si>
  <si>
    <t>Table 31 Training for Senior, Junior and Elementary Civil Service Examinations Qualifiers (Cont2. End)</t>
  </si>
  <si>
    <t>臺北市政府基層公務人員</t>
  </si>
  <si>
    <t>說明：1.本表以參訓人次為計算單位，同1人之參訓次數不受限制。</t>
  </si>
  <si>
    <r>
      <t xml:space="preserve">            2.</t>
    </r>
    <r>
      <rPr>
        <sz val="8"/>
        <rFont val="標楷體"/>
        <family val="4"/>
      </rPr>
      <t>適用對象：</t>
    </r>
    <r>
      <rPr>
        <sz val="8"/>
        <rFont val="Times New Roman"/>
        <family val="1"/>
      </rPr>
      <t>(1)92</t>
    </r>
    <r>
      <rPr>
        <sz val="8"/>
        <rFont val="標楷體"/>
        <family val="4"/>
      </rPr>
      <t>至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年包括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）各機關（構）學校組織編制中依法任用、派用之有給專任人員，</t>
    </r>
    <r>
      <rPr>
        <sz val="8"/>
        <rFont val="Times New Roman"/>
        <family val="1"/>
      </rPr>
      <t>b)</t>
    </r>
    <r>
      <rPr>
        <sz val="8"/>
        <rFont val="標楷體"/>
        <family val="4"/>
      </rPr>
      <t>各機關（構）學校除教師</t>
    </r>
  </si>
  <si>
    <r>
      <rPr>
        <sz val="8.5"/>
        <rFont val="Times New Roman"/>
        <family val="1"/>
      </rPr>
      <t xml:space="preserve">             3</t>
    </r>
    <r>
      <rPr>
        <sz val="8.5"/>
        <rFont val="標楷體"/>
        <family val="4"/>
      </rPr>
      <t>.公務人員考試錄取人員訓練之時數不包含實務訓練之時數。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</si>
  <si>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5)</t>
    </r>
  </si>
  <si>
    <r>
      <t xml:space="preserve">  </t>
    </r>
    <r>
      <rPr>
        <sz val="9"/>
        <rFont val="標楷體"/>
        <family val="4"/>
      </rPr>
      <t xml:space="preserve">臺北市政府基層公務人員
</t>
    </r>
    <r>
      <rPr>
        <sz val="9"/>
        <rFont val="Times New Roman"/>
        <family val="1"/>
      </rPr>
      <t xml:space="preserve">  Taipei municipal government 
  Entry-Level Civil Servants</t>
    </r>
  </si>
  <si>
    <t xml:space="preserve">        政務人員及民選地方首長，d)各機關（構）學校約聘（僱）人員及工友。(2)99年以後為公務人員行政中立法第17條及第18條</t>
  </si>
  <si>
    <r>
      <t xml:space="preserve"> </t>
    </r>
    <r>
      <rPr>
        <sz val="8"/>
        <rFont val="標楷體"/>
        <family val="4"/>
      </rPr>
      <t xml:space="preserve">       外依法聘任、僱用員人員，c)公務人員考試錄取人員。(2)99年以後為公務人員行政中立法第2條所稱之公務人員。</t>
    </r>
  </si>
  <si>
    <r>
      <t xml:space="preserve">     -</t>
    </r>
    <r>
      <rPr>
        <sz val="10"/>
        <rFont val="標楷體"/>
        <family val="4"/>
      </rPr>
      <t>司法事務官</t>
    </r>
    <r>
      <rPr>
        <sz val="10"/>
        <rFont val="Times New Roman"/>
        <family val="1"/>
      </rPr>
      <t xml:space="preserve"> Judicial Affairs Officers</t>
    </r>
  </si>
  <si>
    <r>
      <t xml:space="preserve">     -</t>
    </r>
    <r>
      <rPr>
        <sz val="10"/>
        <rFont val="標楷體"/>
        <family val="4"/>
      </rPr>
      <t>檢察事務官</t>
    </r>
    <r>
      <rPr>
        <sz val="10"/>
        <rFont val="Times New Roman"/>
        <family val="1"/>
      </rPr>
      <t xml:space="preserve"> Prosecution Officers</t>
    </r>
  </si>
  <si>
    <r>
      <t xml:space="preserve">     -</t>
    </r>
    <r>
      <rPr>
        <sz val="10"/>
        <rFont val="標楷體"/>
        <family val="4"/>
      </rPr>
      <t>監獄官</t>
    </r>
    <r>
      <rPr>
        <sz val="10"/>
        <rFont val="Times New Roman"/>
        <family val="1"/>
      </rPr>
      <t xml:space="preserve"> Penitentiary Officers</t>
    </r>
  </si>
  <si>
    <r>
      <t xml:space="preserve">     -</t>
    </r>
    <r>
      <rPr>
        <sz val="10"/>
        <rFont val="標楷體"/>
        <family val="4"/>
      </rPr>
      <t>法院書記官</t>
    </r>
    <r>
      <rPr>
        <sz val="10"/>
        <rFont val="Times New Roman"/>
        <family val="1"/>
      </rPr>
      <t xml:space="preserve"> Registry Officers</t>
    </r>
  </si>
  <si>
    <r>
      <t xml:space="preserve">     -</t>
    </r>
    <r>
      <rPr>
        <sz val="10"/>
        <rFont val="標楷體"/>
        <family val="4"/>
      </rPr>
      <t>監所管理員</t>
    </r>
    <r>
      <rPr>
        <sz val="10"/>
        <rFont val="Times New Roman"/>
        <family val="1"/>
      </rPr>
      <t xml:space="preserve"> Prison Managers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</si>
  <si>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</si>
  <si>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36 Other Training Programs(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</si>
  <si>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</si>
  <si>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36 Other Training Programs(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</si>
  <si>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</si>
  <si>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</si>
  <si>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</si>
  <si>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</si>
  <si>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</si>
  <si>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t xml:space="preserve">         3.Permitted individuals include: (1)from 2003 to 2009, a) presidents and faculty members called for administrative duties in all public schools. b)</t>
  </si>
  <si>
    <t xml:space="preserve">            personnel in charge of management and decision making in all  public industries and sectors. c) administrative commissionners and publicly elected</t>
  </si>
  <si>
    <t xml:space="preserve">            government officials. d) contracted personnel and genetors in public schools. (2) Since 2010, the personnel as stated as the provisions of Articles 17</t>
  </si>
  <si>
    <t xml:space="preserve">            to 18 of Civil Service Administrative Neutrality Act.</t>
  </si>
  <si>
    <t xml:space="preserve">         4.In accordance with  Article V of Guidelines of Training for Administrative Neutrality of Civil Servants amended and publicized on Feb 23, 2006, the</t>
  </si>
  <si>
    <t xml:space="preserve">            item of "Lecture on Administrative Neutrality" is now replaced by "Special Lectures and Seminars", and "Online learning" and "Audio-Visual Learning"</t>
  </si>
  <si>
    <t xml:space="preserve">            combined to form the item of "E-Learning."</t>
  </si>
  <si>
    <r>
      <t xml:space="preserve">     -</t>
    </r>
    <r>
      <rPr>
        <sz val="10"/>
        <rFont val="標楷體"/>
        <family val="4"/>
      </rPr>
      <t>法警、執達員</t>
    </r>
    <r>
      <rPr>
        <sz val="10"/>
        <rFont val="Times New Roman"/>
        <family val="1"/>
      </rPr>
      <t xml:space="preserve"> 
      Bailiff and Judiciary Police</t>
    </r>
  </si>
  <si>
    <r>
      <t xml:space="preserve">     -</t>
    </r>
    <r>
      <rPr>
        <sz val="10"/>
        <rFont val="標楷體"/>
        <family val="4"/>
      </rPr>
      <t>行政執行官</t>
    </r>
    <r>
      <rPr>
        <sz val="10"/>
        <rFont val="Times New Roman"/>
        <family val="1"/>
      </rPr>
      <t xml:space="preserve"> Executive Officers </t>
    </r>
  </si>
  <si>
    <r>
      <t xml:space="preserve">     -</t>
    </r>
    <r>
      <rPr>
        <sz val="10"/>
        <rFont val="標楷體"/>
        <family val="4"/>
      </rPr>
      <t>執行員</t>
    </r>
    <r>
      <rPr>
        <sz val="10"/>
        <rFont val="Times New Roman"/>
        <family val="1"/>
      </rPr>
      <t xml:space="preserve"> Executors</t>
    </r>
  </si>
  <si>
    <r>
      <t xml:space="preserve">     -</t>
    </r>
    <r>
      <rPr>
        <sz val="10"/>
        <rFont val="標楷體"/>
        <family val="4"/>
      </rPr>
      <t>公設辯護人</t>
    </r>
    <r>
      <rPr>
        <sz val="10"/>
        <rFont val="Times New Roman"/>
        <family val="1"/>
      </rPr>
      <t xml:space="preserve"> Public Defender</t>
    </r>
  </si>
  <si>
    <r>
      <t xml:space="preserve">     -</t>
    </r>
    <r>
      <rPr>
        <sz val="10"/>
        <rFont val="標楷體"/>
        <family val="4"/>
      </rPr>
      <t>公證人</t>
    </r>
    <r>
      <rPr>
        <sz val="10"/>
        <rFont val="Times New Roman"/>
        <family val="1"/>
      </rPr>
      <t xml:space="preserve"> Notary public</t>
    </r>
  </si>
  <si>
    <r>
      <t xml:space="preserve">     -</t>
    </r>
    <r>
      <rPr>
        <sz val="10"/>
        <rFont val="標楷體"/>
        <family val="4"/>
      </rPr>
      <t>觀護人</t>
    </r>
    <r>
      <rPr>
        <sz val="10"/>
        <rFont val="Times New Roman"/>
        <family val="1"/>
      </rPr>
      <t xml:space="preserve"> Probation Officer</t>
    </r>
  </si>
  <si>
    <r>
      <t xml:space="preserve">     -</t>
    </r>
    <r>
      <rPr>
        <sz val="10"/>
        <rFont val="標楷體"/>
        <family val="4"/>
      </rPr>
      <t>軍法人員</t>
    </r>
    <r>
      <rPr>
        <sz val="10"/>
        <rFont val="Times New Roman"/>
        <family val="1"/>
      </rPr>
      <t xml:space="preserve"> Judges Advocate</t>
    </r>
  </si>
  <si>
    <r>
      <t xml:space="preserve">  </t>
    </r>
    <r>
      <rPr>
        <sz val="10"/>
        <rFont val="標楷體"/>
        <family val="4"/>
      </rPr>
      <t xml:space="preserve">外交領事暨國際新聞人員
</t>
    </r>
    <r>
      <rPr>
        <sz val="10"/>
        <rFont val="Times New Roman"/>
        <family val="1"/>
      </rPr>
      <t xml:space="preserve">  Diplomatic and Consular
  Personnel &amp; International
  Informaiton Officers</t>
    </r>
  </si>
  <si>
    <r>
      <t xml:space="preserve"> </t>
    </r>
    <r>
      <rPr>
        <sz val="10"/>
        <rFont val="標楷體"/>
        <family val="4"/>
      </rPr>
      <t xml:space="preserve">退除役軍人轉任公務人員
</t>
    </r>
    <r>
      <rPr>
        <sz val="10"/>
        <rFont val="Times New Roman"/>
        <family val="1"/>
      </rPr>
      <t xml:space="preserve">  Military Veterans
  Transferring to the Civil
  Service</t>
    </r>
  </si>
  <si>
    <r>
      <t xml:space="preserve">    </t>
    </r>
    <r>
      <rPr>
        <sz val="10"/>
        <rFont val="標楷體"/>
        <family val="4"/>
      </rPr>
      <t xml:space="preserve">警佐警察人員晉升警正官等
</t>
    </r>
    <r>
      <rPr>
        <sz val="10"/>
        <rFont val="Times New Roman"/>
        <family val="1"/>
      </rPr>
      <t xml:space="preserve">    Police Sergeant to Major
    Rank Promotion</t>
    </r>
  </si>
  <si>
    <r>
      <rPr>
        <sz val="10"/>
        <rFont val="標楷體"/>
        <family val="4"/>
      </rPr>
      <t>　高階主管人員</t>
    </r>
    <r>
      <rPr>
        <sz val="10"/>
        <rFont val="Times New Roman"/>
        <family val="1"/>
      </rPr>
      <t xml:space="preserve"> High-Level Executives</t>
    </r>
  </si>
  <si>
    <r>
      <rPr>
        <sz val="10"/>
        <rFont val="標楷體"/>
        <family val="4"/>
      </rPr>
      <t>　軍法人員</t>
    </r>
    <r>
      <rPr>
        <sz val="10"/>
        <rFont val="Times New Roman"/>
        <family val="1"/>
      </rPr>
      <t xml:space="preserve"> Judges Advocate</t>
    </r>
  </si>
  <si>
    <r>
      <t>4</t>
    </r>
    <r>
      <rPr>
        <sz val="11"/>
        <rFont val="標楷體"/>
        <family val="4"/>
      </rPr>
      <t>週</t>
    </r>
  </si>
  <si>
    <r>
      <t>6</t>
    </r>
    <r>
      <rPr>
        <sz val="11"/>
        <rFont val="標楷體"/>
        <family val="4"/>
      </rPr>
      <t>週</t>
    </r>
  </si>
  <si>
    <r>
      <t>5</t>
    </r>
    <r>
      <rPr>
        <sz val="11"/>
        <rFont val="標楷體"/>
        <family val="4"/>
      </rPr>
      <t>週</t>
    </r>
  </si>
  <si>
    <r>
      <rPr>
        <sz val="11"/>
        <rFont val="標楷體"/>
        <family val="4"/>
      </rPr>
      <t>演講方式實施</t>
    </r>
  </si>
  <si>
    <r>
      <rPr>
        <sz val="11"/>
        <rFont val="標楷體"/>
        <family val="4"/>
      </rPr>
      <t>專班方式實施</t>
    </r>
  </si>
  <si>
    <r>
      <t>5</t>
    </r>
    <r>
      <rPr>
        <sz val="11"/>
        <rFont val="標楷體"/>
        <family val="4"/>
      </rPr>
      <t>日</t>
    </r>
  </si>
  <si>
    <r>
      <t>2</t>
    </r>
    <r>
      <rPr>
        <sz val="11"/>
        <rFont val="標楷體"/>
        <family val="4"/>
      </rPr>
      <t>日</t>
    </r>
  </si>
  <si>
    <r>
      <t>18</t>
    </r>
    <r>
      <rPr>
        <sz val="11"/>
        <rFont val="標楷體"/>
        <family val="4"/>
      </rPr>
      <t>日</t>
    </r>
  </si>
  <si>
    <r>
      <t>3</t>
    </r>
    <r>
      <rPr>
        <sz val="11"/>
        <rFont val="標楷體"/>
        <family val="4"/>
      </rPr>
      <t>日</t>
    </r>
  </si>
  <si>
    <r>
      <t>2</t>
    </r>
    <r>
      <rPr>
        <sz val="11"/>
        <rFont val="標楷體"/>
        <family val="4"/>
      </rPr>
      <t>週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</si>
  <si>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</si>
  <si>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</si>
  <si>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</si>
  <si>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t>4</t>
    </r>
    <r>
      <rPr>
        <sz val="10"/>
        <rFont val="標楷體"/>
        <family val="4"/>
      </rPr>
      <t>個月</t>
    </r>
  </si>
  <si>
    <r>
      <t>1</t>
    </r>
    <r>
      <rPr>
        <sz val="10"/>
        <rFont val="標楷體"/>
        <family val="4"/>
      </rPr>
      <t>年</t>
    </r>
  </si>
  <si>
    <r>
      <t>26</t>
    </r>
    <r>
      <rPr>
        <sz val="10"/>
        <rFont val="標楷體"/>
        <family val="4"/>
      </rPr>
      <t>週</t>
    </r>
  </si>
  <si>
    <r>
      <t>18</t>
    </r>
    <r>
      <rPr>
        <sz val="10"/>
        <rFont val="標楷體"/>
        <family val="4"/>
      </rPr>
      <t>個月</t>
    </r>
  </si>
  <si>
    <r>
      <t>11</t>
    </r>
    <r>
      <rPr>
        <sz val="10"/>
        <rFont val="標楷體"/>
        <family val="4"/>
      </rPr>
      <t>個月</t>
    </r>
  </si>
  <si>
    <r>
      <t>17</t>
    </r>
    <r>
      <rPr>
        <sz val="10"/>
        <rFont val="標楷體"/>
        <family val="4"/>
      </rPr>
      <t>個月</t>
    </r>
  </si>
  <si>
    <r>
      <t>6</t>
    </r>
    <r>
      <rPr>
        <sz val="10"/>
        <rFont val="標楷體"/>
        <family val="4"/>
      </rPr>
      <t>個月</t>
    </r>
  </si>
  <si>
    <r>
      <t>7</t>
    </r>
    <r>
      <rPr>
        <sz val="10"/>
        <rFont val="標楷體"/>
        <family val="4"/>
      </rPr>
      <t>個月</t>
    </r>
  </si>
  <si>
    <r>
      <t>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3)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</si>
  <si>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如說明</t>
    </r>
    <r>
      <rPr>
        <sz val="10"/>
        <rFont val="Times New Roman"/>
        <family val="1"/>
      </rPr>
      <t>4)</t>
    </r>
  </si>
  <si>
    <r>
      <rPr>
        <sz val="10"/>
        <rFont val="標楷體"/>
        <family val="4"/>
      </rPr>
      <t>三等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個月
四等</t>
    </r>
    <r>
      <rPr>
        <sz val="10"/>
        <rFont val="Times New Roman"/>
        <family val="1"/>
      </rPr>
      <t>18</t>
    </r>
    <r>
      <rPr>
        <sz val="10"/>
        <rFont val="標楷體"/>
        <family val="4"/>
      </rPr>
      <t>個月</t>
    </r>
  </si>
  <si>
    <r>
      <t xml:space="preserve"> </t>
    </r>
    <r>
      <rPr>
        <sz val="10"/>
        <rFont val="標楷體"/>
        <family val="4"/>
      </rPr>
      <t xml:space="preserve">警察人員二等
</t>
    </r>
    <r>
      <rPr>
        <sz val="10"/>
        <rFont val="Times New Roman"/>
        <family val="1"/>
      </rPr>
      <t xml:space="preserve">  Police Officers (Grade B)</t>
    </r>
  </si>
  <si>
    <r>
      <t>2</t>
    </r>
    <r>
      <rPr>
        <sz val="10"/>
        <rFont val="標楷體"/>
        <family val="4"/>
      </rPr>
      <t>年</t>
    </r>
  </si>
  <si>
    <t>18個月</t>
  </si>
  <si>
    <r>
      <rPr>
        <sz val="11"/>
        <rFont val="標楷體"/>
        <family val="4"/>
      </rPr>
      <t>－按各訓練占總計百分比分</t>
    </r>
  </si>
  <si>
    <t>法務部調查局調查人員</t>
  </si>
  <si>
    <t>Investigative Agents of the Investigation Bureau, Ministry of Justice</t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</si>
  <si>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</si>
  <si>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100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2011</t>
    </r>
  </si>
  <si>
    <t>民航
人員</t>
  </si>
  <si>
    <t>Civil Aviation Personnel</t>
  </si>
  <si>
    <r>
      <rPr>
        <sz val="6"/>
        <rFont val="標楷體"/>
        <family val="4"/>
      </rPr>
      <t xml:space="preserve">稅務金融人員
</t>
    </r>
    <r>
      <rPr>
        <sz val="6"/>
        <rFont val="Times New Roman"/>
        <family val="1"/>
      </rPr>
      <t>Taxes and Finance Personnel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</si>
  <si>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</si>
  <si>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</si>
  <si>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</si>
  <si>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t>關務
人員</t>
  </si>
  <si>
    <t>關務
人員</t>
  </si>
  <si>
    <t>Customs Personnel</t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</si>
  <si>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</si>
  <si>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t>經濟部專利商標審查人員</t>
  </si>
  <si>
    <t>小計Cumulative</t>
  </si>
  <si>
    <t>原住民族人員</t>
  </si>
  <si>
    <t>Indigenous Peoples</t>
  </si>
  <si>
    <r>
      <t>小計</t>
    </r>
    <r>
      <rPr>
        <sz val="10"/>
        <rFont val="Times New Roman"/>
        <family val="1"/>
      </rPr>
      <t>Cumulative</t>
    </r>
  </si>
  <si>
    <t>社會福利工作人員</t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</si>
  <si>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</si>
  <si>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</si>
  <si>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t>身心障礙人員</t>
  </si>
  <si>
    <t>交通事業鐵路人員</t>
  </si>
  <si>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</si>
  <si>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t>Transportation Enterprise Railways Personnel</t>
  </si>
  <si>
    <t>Social Welfare Workers</t>
  </si>
  <si>
    <r>
      <t>2</t>
    </r>
    <r>
      <rPr>
        <sz val="10"/>
        <rFont val="標楷體"/>
        <family val="4"/>
      </rPr>
      <t>年</t>
    </r>
  </si>
  <si>
    <r>
      <t>9</t>
    </r>
    <r>
      <rPr>
        <sz val="10"/>
        <rFont val="標楷體"/>
        <family val="4"/>
      </rPr>
      <t>個月</t>
    </r>
  </si>
  <si>
    <r>
      <t>8</t>
    </r>
    <r>
      <rPr>
        <sz val="10"/>
        <rFont val="標楷體"/>
        <family val="4"/>
      </rPr>
      <t>個月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</si>
  <si>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(4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</si>
  <si>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(5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</si>
  <si>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(3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</si>
  <si>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(2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</si>
  <si>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2)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</si>
  <si>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4)</t>
    </r>
  </si>
  <si>
    <r>
      <t>5</t>
    </r>
    <r>
      <rPr>
        <sz val="11"/>
        <rFont val="標楷體"/>
        <family val="4"/>
      </rPr>
      <t>週</t>
    </r>
  </si>
  <si>
    <r>
      <t>4</t>
    </r>
    <r>
      <rPr>
        <sz val="11"/>
        <rFont val="標楷體"/>
        <family val="4"/>
      </rPr>
      <t>週</t>
    </r>
  </si>
  <si>
    <t>From 2002 To 2011</t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</si>
  <si>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</si>
  <si>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(5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</si>
  <si>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(3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</si>
  <si>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本表資料以訓練期滿日該年完成訓練者為準，以下各公務人員培訓統計表同。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Times New Roman"/>
        <family val="1"/>
      </rPr>
      <t xml:space="preserve">                                                              </t>
    </r>
  </si>
  <si>
    <t xml:space="preserve">Note:1.The information contained in this table is based on the year of training completed. This applies to the </t>
  </si>
  <si>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</si>
  <si>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四等</t>
    </r>
    <r>
      <rPr>
        <sz val="10"/>
        <rFont val="Times New Roman"/>
        <family val="1"/>
      </rPr>
      <t xml:space="preserve">   
      Grade D</t>
    </r>
  </si>
  <si>
    <r>
      <t xml:space="preserve"> </t>
    </r>
    <r>
      <rPr>
        <sz val="10"/>
        <rFont val="標楷體"/>
        <family val="4"/>
      </rPr>
      <t xml:space="preserve">一般警察人員二、三等
</t>
    </r>
    <r>
      <rPr>
        <sz val="10"/>
        <rFont val="Times New Roman"/>
        <family val="1"/>
      </rPr>
      <t xml:space="preserve">  General Police Officers Grade B,C</t>
    </r>
  </si>
  <si>
    <r>
      <t xml:space="preserve">                 3</t>
    </r>
    <r>
      <rPr>
        <sz val="10"/>
        <rFont val="標楷體"/>
        <family val="4"/>
      </rPr>
      <t>週，五等為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週。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年起三等為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週，四等及五等為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週。</t>
    </r>
  </si>
  <si>
    <r>
      <t xml:space="preserve">                 </t>
    </r>
    <r>
      <rPr>
        <sz val="10"/>
        <rFont val="標楷體"/>
        <family val="4"/>
      </rPr>
      <t>週，五等為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週。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年起原住民特考、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年退除役特考訓期三等為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週，四、五等為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週。</t>
    </r>
  </si>
  <si>
    <t xml:space="preserve">            institutions. b) Contracted employees legally appointed by government agencies or public schools and categorized as organizations’formal members</t>
  </si>
  <si>
    <r>
      <t>97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Year 2008</t>
    </r>
  </si>
  <si>
    <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2007</t>
    </r>
  </si>
  <si>
    <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2007</t>
    </r>
  </si>
  <si>
    <r>
      <t xml:space="preserve">國家文官學院中區培訓中心
</t>
    </r>
    <r>
      <rPr>
        <sz val="10"/>
        <rFont val="Times New Roman"/>
        <family val="1"/>
      </rPr>
      <t>Central Taiwan Training Center, NACS</t>
    </r>
  </si>
  <si>
    <r>
      <t xml:space="preserve">預算員額
</t>
    </r>
    <r>
      <rPr>
        <sz val="10"/>
        <rFont val="Times New Roman"/>
        <family val="1"/>
      </rPr>
      <t>Budget Headcount</t>
    </r>
  </si>
  <si>
    <r>
      <rPr>
        <sz val="10"/>
        <rFont val="標楷體"/>
        <family val="4"/>
      </rPr>
      <t xml:space="preserve">預算員額占編制員額百分比
</t>
    </r>
    <r>
      <rPr>
        <sz val="10"/>
        <rFont val="Times New Roman"/>
        <family val="1"/>
      </rPr>
      <t>Ratio of Budgted Personnel to All Enlisted</t>
    </r>
  </si>
  <si>
    <r>
      <t xml:space="preserve">實有人數
</t>
    </r>
    <r>
      <rPr>
        <sz val="10"/>
        <rFont val="Times New Roman"/>
        <family val="1"/>
      </rPr>
      <t>Present Headcount</t>
    </r>
  </si>
  <si>
    <r>
      <t xml:space="preserve">   </t>
    </r>
    <r>
      <rPr>
        <sz val="10"/>
        <rFont val="標楷體"/>
        <family val="4"/>
      </rPr>
      <t xml:space="preserve">實有人數占預算員額百分比
</t>
    </r>
    <r>
      <rPr>
        <sz val="10"/>
        <rFont val="Times New Roman"/>
        <family val="1"/>
      </rPr>
      <t xml:space="preserve">    Ratio of Actual Numbers to Budgeted </t>
    </r>
  </si>
  <si>
    <t xml:space="preserve">                   中華民國九十一年至一百年</t>
  </si>
  <si>
    <t xml:space="preserve">              for Grade E. In 2010, The period is 5 weeks for Grade C, 3 weeks for Grade D and E.</t>
  </si>
  <si>
    <t xml:space="preserve">               CSPTS , and the period is 4 weeks for Grade C, 3 weeks for Grade D and 2 weeks for Grade E. In 2010, The period is </t>
  </si>
  <si>
    <t xml:space="preserve">               5 weeks for Grade C, 3 weeks for Grade D and E.</t>
  </si>
  <si>
    <r>
      <rPr>
        <sz val="10"/>
        <rFont val="標楷體"/>
        <family val="4"/>
      </rPr>
      <t xml:space="preserve">小計
</t>
    </r>
    <r>
      <rPr>
        <sz val="10"/>
        <rFont val="Times New Roman"/>
        <family val="1"/>
      </rPr>
      <t>Cumulative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</si>
  <si>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</si>
  <si>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t>軍法
人員</t>
  </si>
  <si>
    <t>Judges Advocate</t>
  </si>
  <si>
    <t>監察院調查人員
Investigative Agents of the Control Yuan</t>
  </si>
  <si>
    <r>
      <rPr>
        <sz val="11"/>
        <rFont val="標楷體"/>
        <family val="4"/>
      </rPr>
      <t>說明</t>
    </r>
    <r>
      <rPr>
        <sz val="11"/>
        <rFont val="Times New Roman"/>
        <family val="1"/>
      </rPr>
      <t>1</t>
    </r>
  </si>
  <si>
    <r>
      <rPr>
        <sz val="11"/>
        <rFont val="標楷體"/>
        <family val="4"/>
      </rPr>
      <t>說明</t>
    </r>
    <r>
      <rPr>
        <sz val="11"/>
        <rFont val="Times New Roman"/>
        <family val="1"/>
      </rPr>
      <t>2</t>
    </r>
  </si>
  <si>
    <t>說明：1.管理發展訓練為期5週，每週一至五上課；領導及決策發展訓練為期3個月，每週上課數天。
      2.管理發展訓練、領導發展訓練及決策發展訓練均為期3個月，國內課程每週五、六上課；國外課程為期2週。</t>
  </si>
  <si>
    <t xml:space="preserve">        交通部公路總局除外)、金融、 生產(經濟部礦務局除外)及聘用、約僱等人員數。</t>
  </si>
  <si>
    <r>
      <rPr>
        <sz val="10"/>
        <rFont val="標楷體"/>
        <family val="4"/>
      </rPr>
      <t xml:space="preserve">　外交領事及國際新聞人員
</t>
    </r>
    <r>
      <rPr>
        <sz val="10"/>
        <rFont val="Times New Roman"/>
        <family val="1"/>
      </rPr>
      <t xml:space="preserve">     Diplomatic and Consular
     Personnel &amp; International
     Informaiton Officers</t>
    </r>
  </si>
  <si>
    <r>
      <rPr>
        <sz val="9"/>
        <rFont val="標楷體"/>
        <family val="4"/>
      </rPr>
      <t xml:space="preserve">　外交領事及國際新聞人員
</t>
    </r>
    <r>
      <rPr>
        <sz val="9"/>
        <rFont val="Times New Roman"/>
        <family val="1"/>
      </rPr>
      <t xml:space="preserve">     Diplomatic and Consular Personnel &amp;
     International Informaiton Officers</t>
    </r>
  </si>
  <si>
    <t>Table 21Statistics of Training and Advanced Studies for Senior Civil Servants</t>
  </si>
  <si>
    <t>Table 23 Statistics of Training and Advanced Studies for Elementary Civil Servants</t>
  </si>
  <si>
    <t>Table 24 Duration of Each Category of Training</t>
  </si>
  <si>
    <t>Table 24 Duration of Each Category of Training (Cont. 1)</t>
  </si>
  <si>
    <t>Table 24 Duration of Each Category of Training (Cont. 2)</t>
  </si>
  <si>
    <t>Table 25 Number of Each Category of Training</t>
  </si>
  <si>
    <t>Table 25 Number of Each Category of Training (Cont. 1)</t>
  </si>
  <si>
    <t>Table 26 Number of Each Category of Training (Cont. 1)</t>
  </si>
  <si>
    <t>Table 26 Number of Each Category of Training</t>
  </si>
  <si>
    <t>Table 27 Number of Each Category of Training</t>
  </si>
  <si>
    <t>Table 28 Ratio of Female Participants in Each Category of Training</t>
  </si>
  <si>
    <t>Table 28 Ratio of Female Participants in Each Category of Training (Cont.1)</t>
  </si>
  <si>
    <t>Table 29 Average Age in Each Category of Training Participants</t>
  </si>
  <si>
    <t>Table 30 Age Distribution in Each Category of Training Participants</t>
  </si>
  <si>
    <t>Table 30 Age Distribution in Each Category of Training Participants (Cont. End )</t>
  </si>
  <si>
    <t>Table 31 Training for Senior, Junior and Elementary Civil Service Examinations Qualifiers</t>
  </si>
  <si>
    <t>Table 31 Training for Senior, Junior and Elementary Civil Service Examinations Qualifiers (Cont.1)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</si>
  <si>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29</t>
    </r>
    <r>
      <rPr>
        <sz val="14"/>
        <rFont val="標楷體"/>
        <family val="4"/>
      </rPr>
      <t>　各項訓練學員平均年齡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 xml:space="preserve">) </t>
    </r>
  </si>
  <si>
    <t>Table 32 Training for Special Civil Service Examination Qualifiers</t>
  </si>
  <si>
    <t>Table 32 Training for Special Civil Service Examination Qualifiers (Cont. 1)</t>
  </si>
  <si>
    <t>Table 32 Training for Special Civil Service Examination Qualifiers (Cont. 2)</t>
  </si>
  <si>
    <t>Table 32 Training for Special Civil Service Examination Qualifiers (Cont.3)</t>
  </si>
  <si>
    <t>Table 32 Training for Special Civil Service Examination Qualifiers (Cont.4)</t>
  </si>
  <si>
    <t>Table 32 Training for Special Civil Service Examination Qualifiers(Cont.5)</t>
  </si>
  <si>
    <t>Table 32 Training for Special Civil Service Examination Qualifiers (Cont.6)</t>
  </si>
  <si>
    <t>Table 32 Training for Special Civil Service Examination Qualifiers(Cont.7)</t>
  </si>
  <si>
    <t>Table 32 Training for Special Civil Service Examination Qualifiers(Cont.8)</t>
  </si>
  <si>
    <t>Table 32 Training for Special Civil Service Examination Qualifiers (Cont.9)</t>
  </si>
  <si>
    <t>Table 32 Training for Special Civil Service Examination Qualifiers (Cont.10)</t>
  </si>
  <si>
    <t>Table 32 Training for Special Civil Service Examination Qualifiers(Cont.11)</t>
  </si>
  <si>
    <t>Table 32 Training for Special Civil Service Examination Qualifiers(Cont.12)</t>
  </si>
  <si>
    <t>Table 33 Rank Promotion Training</t>
  </si>
  <si>
    <t>Table 33 Rank Promotion Training (Cont.1)</t>
  </si>
  <si>
    <t>Table 33 Rank Promotion Training (Cont.2)</t>
  </si>
  <si>
    <t>Table 34 Personnel Officials Training</t>
  </si>
  <si>
    <t>Table 34 Personnel Officials Training (Cont.1)</t>
  </si>
  <si>
    <t>Table 35 Development Training of Senior Civil Service</t>
  </si>
  <si>
    <t>Table 36 Other Related Training</t>
  </si>
  <si>
    <t>Table 36 Other Related Training (Cont.1)</t>
  </si>
  <si>
    <t>Table 36 Other Related Training (Cont.2)</t>
  </si>
  <si>
    <t>Table 36 Other Related Training (Cont.3)</t>
  </si>
  <si>
    <t>Table 38 Personnel Distribution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</si>
  <si>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30</t>
    </r>
    <r>
      <rPr>
        <sz val="14"/>
        <rFont val="標楷體"/>
        <family val="4"/>
      </rPr>
      <t>　各項訓練學員年齡分布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</si>
  <si>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31</t>
    </r>
    <r>
      <rPr>
        <sz val="14"/>
        <rFont val="標楷體"/>
        <family val="4"/>
      </rPr>
      <t>　高等普通初等考試錄取人員訓練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>)</t>
    </r>
  </si>
  <si>
    <t>Table 20  Statistics of Training and Advanced Studies for All Civil Servants</t>
  </si>
  <si>
    <r>
      <rPr>
        <sz val="10"/>
        <rFont val="標楷體"/>
        <family val="4"/>
      </rPr>
      <t xml:space="preserve">訓練進修名稱
</t>
    </r>
    <r>
      <rPr>
        <sz val="10"/>
        <rFont val="Times New Roman"/>
        <family val="1"/>
      </rPr>
      <t>Categories of Training and Advanced Studies</t>
    </r>
  </si>
  <si>
    <r>
      <rPr>
        <sz val="10"/>
        <rFont val="標楷體"/>
        <family val="4"/>
      </rPr>
      <t xml:space="preserve">國內進修
</t>
    </r>
    <r>
      <rPr>
        <sz val="10"/>
        <rFont val="Times New Roman"/>
        <family val="1"/>
      </rPr>
      <t>Domestic Advanced Studies</t>
    </r>
    <r>
      <rPr>
        <sz val="10"/>
        <rFont val="標楷體"/>
        <family val="4"/>
      </rPr>
      <t>　</t>
    </r>
  </si>
  <si>
    <r>
      <rPr>
        <sz val="10"/>
        <rFont val="標楷體"/>
        <family val="4"/>
      </rPr>
      <t>國外進修</t>
    </r>
    <r>
      <rPr>
        <sz val="10"/>
        <rFont val="Times New Roman"/>
        <family val="1"/>
      </rPr>
      <t xml:space="preserve"> 
Overseas Advanced Studies</t>
    </r>
  </si>
  <si>
    <t>Advanced Studies</t>
  </si>
  <si>
    <t>Advanced Studies</t>
  </si>
  <si>
    <t xml:space="preserve">        交通部公路總局除外)、金融、 生產(經濟部礦務局除外)及聘用、約僱等人員數。</t>
  </si>
  <si>
    <t>Source: As indicated in Table 20.</t>
  </si>
  <si>
    <t xml:space="preserve">   Advanced Studies</t>
  </si>
  <si>
    <r>
      <rPr>
        <sz val="10"/>
        <rFont val="標楷體"/>
        <family val="4"/>
      </rPr>
      <t xml:space="preserve">國內進修
</t>
    </r>
    <r>
      <rPr>
        <sz val="10"/>
        <rFont val="Times New Roman"/>
        <family val="1"/>
      </rPr>
      <t>Domestic Advanced Studies</t>
    </r>
    <r>
      <rPr>
        <sz val="10"/>
        <rFont val="標楷體"/>
        <family val="4"/>
      </rPr>
      <t>　　　</t>
    </r>
  </si>
  <si>
    <t>Table 22 Statistics of Training and Advanced Studies for Junior Civil Servants</t>
  </si>
  <si>
    <r>
      <rPr>
        <sz val="9.5"/>
        <rFont val="標楷體"/>
        <family val="4"/>
      </rPr>
      <t xml:space="preserve">初任各官等主管人員訓練
</t>
    </r>
    <r>
      <rPr>
        <sz val="9.5"/>
        <rFont val="Times New Roman"/>
        <family val="1"/>
      </rPr>
      <t>New Appointed Executives with All Ranks</t>
    </r>
    <r>
      <rPr>
        <sz val="9.5"/>
        <rFont val="標楷體"/>
        <family val="4"/>
      </rPr>
      <t>　　</t>
    </r>
    <r>
      <rPr>
        <sz val="9.5"/>
        <rFont val="Times New Roman"/>
        <family val="1"/>
      </rPr>
      <t xml:space="preserve"> </t>
    </r>
  </si>
  <si>
    <r>
      <rPr>
        <sz val="9"/>
        <rFont val="標楷體"/>
        <family val="4"/>
      </rPr>
      <t xml:space="preserve">國內進修
</t>
    </r>
    <r>
      <rPr>
        <sz val="9"/>
        <rFont val="Times New Roman"/>
        <family val="1"/>
      </rPr>
      <t>Domestic Advanced Studies</t>
    </r>
  </si>
  <si>
    <r>
      <rPr>
        <sz val="9"/>
        <rFont val="標楷體"/>
        <family val="4"/>
      </rPr>
      <t>國外進修</t>
    </r>
    <r>
      <rPr>
        <sz val="9"/>
        <rFont val="Times New Roman"/>
        <family val="1"/>
      </rPr>
      <t xml:space="preserve"> 
Overseas Advanced Studies</t>
    </r>
  </si>
  <si>
    <r>
      <rPr>
        <sz val="9"/>
        <rFont val="標楷體"/>
        <family val="4"/>
      </rPr>
      <t xml:space="preserve">國內進修
</t>
    </r>
    <r>
      <rPr>
        <sz val="9"/>
        <rFont val="Times New Roman"/>
        <family val="1"/>
      </rPr>
      <t>Domestic Advanced Studies</t>
    </r>
    <r>
      <rPr>
        <sz val="9"/>
        <rFont val="標楷體"/>
        <family val="4"/>
      </rPr>
      <t>　　　</t>
    </r>
  </si>
  <si>
    <t>平均每人時數
Hours per Individual　　　　</t>
  </si>
  <si>
    <r>
      <rPr>
        <sz val="8.5"/>
        <rFont val="標楷體"/>
        <family val="4"/>
      </rPr>
      <t>資料來源：同表</t>
    </r>
    <r>
      <rPr>
        <sz val="8.5"/>
        <rFont val="Times New Roman"/>
        <family val="1"/>
      </rPr>
      <t>20</t>
    </r>
    <r>
      <rPr>
        <sz val="8.5"/>
        <rFont val="標楷體"/>
        <family val="4"/>
      </rPr>
      <t>。</t>
    </r>
  </si>
  <si>
    <r>
      <rPr>
        <sz val="8.5"/>
        <rFont val="標楷體"/>
        <family val="4"/>
      </rPr>
      <t>說明：</t>
    </r>
    <r>
      <rPr>
        <sz val="8.5"/>
        <rFont val="Times New Roman"/>
        <family val="1"/>
      </rPr>
      <t>1.</t>
    </r>
    <r>
      <rPr>
        <sz val="8.5"/>
        <rFont val="標楷體"/>
        <family val="4"/>
      </rPr>
      <t>本表簡任人員包含相當簡任之人員。</t>
    </r>
  </si>
  <si>
    <r>
      <t>　　　</t>
    </r>
    <r>
      <rPr>
        <sz val="8.5"/>
        <rFont val="Times New Roman"/>
        <family val="1"/>
      </rPr>
      <t>2.100</t>
    </r>
    <r>
      <rPr>
        <sz val="8.5"/>
        <rFont val="標楷體"/>
        <family val="4"/>
      </rPr>
      <t>年底現有人員</t>
    </r>
    <r>
      <rPr>
        <sz val="8.5"/>
        <rFont val="Times New Roman"/>
        <family val="1"/>
      </rPr>
      <t>9,721</t>
    </r>
    <r>
      <rPr>
        <sz val="8.5"/>
        <rFont val="標楷體"/>
        <family val="4"/>
      </rPr>
      <t>人，其中男</t>
    </r>
    <r>
      <rPr>
        <sz val="8.5"/>
        <rFont val="Times New Roman"/>
        <family val="1"/>
      </rPr>
      <t>7,168</t>
    </r>
    <r>
      <rPr>
        <sz val="8.5"/>
        <rFont val="標楷體"/>
        <family val="4"/>
      </rPr>
      <t>人，女</t>
    </r>
    <r>
      <rPr>
        <sz val="8.5"/>
        <rFont val="Times New Roman"/>
        <family val="1"/>
      </rPr>
      <t>2,553</t>
    </r>
    <r>
      <rPr>
        <sz val="8.5"/>
        <rFont val="標楷體"/>
        <family val="4"/>
      </rPr>
      <t>人。惟不含退休和離職人員，及教育、交通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交通部臺灣區國道高速公路局、</t>
    </r>
  </si>
  <si>
    <t xml:space="preserve">       交通部公路總局除外)、金融、 生產(經濟部礦務局除外)及聘用、約僱等人員數。</t>
  </si>
  <si>
    <t xml:space="preserve">          2.The current staff pool includes a total of 9,721 employees as of the end of 2011, among which 7,168 are male and 2,553 female. Not including </t>
  </si>
  <si>
    <t xml:space="preserve">Note: 1.The senior rank personnel includes all the equivalent. </t>
  </si>
  <si>
    <t>Source: As  indicated in Table 20.</t>
  </si>
  <si>
    <r>
      <rPr>
        <sz val="8"/>
        <rFont val="標楷體"/>
        <family val="4"/>
      </rPr>
      <t>資料來源：同表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。</t>
    </r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</si>
  <si>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 xml:space="preserve"> 1.</t>
    </r>
    <r>
      <rPr>
        <sz val="8"/>
        <rFont val="標楷體"/>
        <family val="4"/>
      </rPr>
      <t>本表薦任人員包含相當薦任之人員。　</t>
    </r>
  </si>
  <si>
    <t xml:space="preserve">Notes: 1.The junior rank personnel includes all the equivalent. </t>
  </si>
  <si>
    <t xml:space="preserve">           2.The current staff pool includes a total of 164,983 employees as of the end of 2011, among which 100,140 are male and  64,843 female.  Not including</t>
  </si>
  <si>
    <t>資料來源：同表20。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</si>
  <si>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 xml:space="preserve"> 1.</t>
    </r>
    <r>
      <rPr>
        <sz val="8"/>
        <rFont val="標楷體"/>
        <family val="4"/>
      </rPr>
      <t>本表委任人員包含相當委任之人員。</t>
    </r>
  </si>
  <si>
    <r>
      <t>　　　</t>
    </r>
    <r>
      <rPr>
        <sz val="8"/>
        <rFont val="Times New Roman"/>
        <family val="1"/>
      </rPr>
      <t xml:space="preserve"> 2.100</t>
    </r>
    <r>
      <rPr>
        <sz val="8"/>
        <rFont val="標楷體"/>
        <family val="4"/>
      </rPr>
      <t>年底現有人員</t>
    </r>
    <r>
      <rPr>
        <sz val="8"/>
        <rFont val="Times New Roman"/>
        <family val="1"/>
      </rPr>
      <t>97,370</t>
    </r>
    <r>
      <rPr>
        <sz val="8"/>
        <rFont val="標楷體"/>
        <family val="4"/>
      </rPr>
      <t>人，其中男</t>
    </r>
    <r>
      <rPr>
        <sz val="8"/>
        <rFont val="Times New Roman"/>
        <family val="1"/>
      </rPr>
      <t>50,856</t>
    </r>
    <r>
      <rPr>
        <sz val="8"/>
        <rFont val="標楷體"/>
        <family val="4"/>
      </rPr>
      <t>人，女</t>
    </r>
    <r>
      <rPr>
        <sz val="8"/>
        <rFont val="Times New Roman"/>
        <family val="1"/>
      </rPr>
      <t>46,514</t>
    </r>
    <r>
      <rPr>
        <sz val="8"/>
        <rFont val="標楷體"/>
        <family val="4"/>
      </rPr>
      <t>人。惟不含退休和離職人員，及教育、交通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交通部臺灣區國道高速公路局、</t>
    </r>
  </si>
  <si>
    <t>Note: 1.The elementary rank personnel includes all the equivalent.</t>
  </si>
  <si>
    <t xml:space="preserve">          2.The current staff pool includes a total of 97,370employees as of the end of 2011, among which 50,856 are male and 46,514 female. Not including</t>
  </si>
  <si>
    <t>Note: 1. The Management Development Training  period is 5 weeks, every Monday to Friday. The Leadership Development 
              Training and the Strategy Development Training period are 3 months with couple days of classes per week .
          2. The Management Development Training, the Leadership Development Training and the Strategy Development 
              Training period are all 3 months, including domestic training every Friday and Saturday and 2 weeks of overseas 
               training.</t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</si>
  <si>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</si>
  <si>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rPr>
        <sz val="10"/>
        <rFont val="標楷體"/>
        <family val="4"/>
      </rPr>
      <t xml:space="preserve">小計
</t>
    </r>
    <r>
      <rPr>
        <sz val="10"/>
        <rFont val="Times New Roman"/>
        <family val="1"/>
      </rPr>
      <t>Cumulative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</si>
  <si>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</si>
  <si>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</si>
  <si>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</si>
  <si>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</si>
  <si>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</si>
  <si>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</si>
  <si>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</si>
  <si>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</si>
  <si>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rPr>
        <sz val="10"/>
        <rFont val="標楷體"/>
        <family val="4"/>
      </rPr>
      <t>年　　　　　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分　　　　　　布</t>
    </r>
    <r>
      <rPr>
        <sz val="10"/>
        <rFont val="Times New Roman"/>
        <family val="1"/>
      </rPr>
      <t xml:space="preserve">    Age Distribution
</t>
    </r>
  </si>
  <si>
    <r>
      <t>　　　</t>
    </r>
    <r>
      <rPr>
        <sz val="8"/>
        <rFont val="Times New Roman"/>
        <family val="1"/>
      </rPr>
      <t xml:space="preserve"> 2.100</t>
    </r>
    <r>
      <rPr>
        <sz val="8"/>
        <rFont val="標楷體"/>
        <family val="4"/>
      </rPr>
      <t>年底現有人員</t>
    </r>
    <r>
      <rPr>
        <sz val="8"/>
        <rFont val="Times New Roman"/>
        <family val="1"/>
      </rPr>
      <t>164,983</t>
    </r>
    <r>
      <rPr>
        <sz val="8"/>
        <rFont val="標楷體"/>
        <family val="4"/>
      </rPr>
      <t>人，其中男</t>
    </r>
    <r>
      <rPr>
        <sz val="8"/>
        <rFont val="Times New Roman"/>
        <family val="1"/>
      </rPr>
      <t>100,140</t>
    </r>
    <r>
      <rPr>
        <sz val="8"/>
        <rFont val="標楷體"/>
        <family val="4"/>
      </rPr>
      <t>人，女</t>
    </r>
    <r>
      <rPr>
        <sz val="8"/>
        <rFont val="Times New Roman"/>
        <family val="1"/>
      </rPr>
      <t>64,843</t>
    </r>
    <r>
      <rPr>
        <sz val="8"/>
        <rFont val="標楷體"/>
        <family val="4"/>
      </rPr>
      <t>人。惟不含退休和離職人員，及教育、交通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交通部臺灣區國道高速公路局、</t>
    </r>
  </si>
  <si>
    <t xml:space="preserve">Note: 1.The current staff pool includes a total of 272,074 employees as of the end of 2011, among which 158,164 are male and 113,910 female. Not </t>
  </si>
  <si>
    <r>
      <t xml:space="preserve">   </t>
    </r>
    <r>
      <rPr>
        <sz val="8.5"/>
        <rFont val="標楷體"/>
        <family val="4"/>
      </rPr>
      <t>　　</t>
    </r>
    <r>
      <rPr>
        <sz val="8.5"/>
        <rFont val="Times New Roman"/>
        <family val="1"/>
      </rPr>
      <t xml:space="preserve"> 2. </t>
    </r>
    <r>
      <rPr>
        <sz val="8.5"/>
        <rFont val="標楷體"/>
        <family val="4"/>
      </rPr>
      <t>本表人數欄係以「人」為統計基準，即同一人參加</t>
    </r>
    <r>
      <rPr>
        <sz val="8.5"/>
        <rFont val="Times New Roman"/>
        <family val="1"/>
      </rPr>
      <t>1</t>
    </r>
    <r>
      <rPr>
        <sz val="8.5"/>
        <rFont val="標楷體"/>
        <family val="4"/>
      </rPr>
      <t>次以上之訓練或進修，合計欄以</t>
    </r>
    <r>
      <rPr>
        <sz val="8.5"/>
        <rFont val="Times New Roman"/>
        <family val="1"/>
      </rPr>
      <t>1</t>
    </r>
    <r>
      <rPr>
        <sz val="8.5"/>
        <rFont val="標楷體"/>
        <family val="4"/>
      </rPr>
      <t>人計算，同時參加訓練、進修或終身學習等</t>
    </r>
  </si>
  <si>
    <r>
      <t xml:space="preserve">                </t>
    </r>
    <r>
      <rPr>
        <sz val="8.5"/>
        <rFont val="標楷體"/>
        <family val="4"/>
      </rPr>
      <t>學習等活動，總計欄以</t>
    </r>
    <r>
      <rPr>
        <sz val="8.5"/>
        <rFont val="Times New Roman"/>
        <family val="1"/>
      </rPr>
      <t>1</t>
    </r>
    <r>
      <rPr>
        <sz val="8.5"/>
        <rFont val="標楷體"/>
        <family val="4"/>
      </rPr>
      <t>人計算。</t>
    </r>
  </si>
  <si>
    <t xml:space="preserve">             Ministry of Transportation and Communications), finance, production (Bureau of Mines, Ministry of Economic Affairs)  and clerk, contract </t>
  </si>
  <si>
    <t xml:space="preserve">             employee, about the number of employed personnel.</t>
  </si>
  <si>
    <t xml:space="preserve">              the number of employed personnel.</t>
  </si>
  <si>
    <t xml:space="preserve">             Transportation and Communications), finance, production (Bureau of Mines, Ministry of Economic Affairs)  and clerk, contract employee, about </t>
  </si>
  <si>
    <r>
      <t>4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說明</t>
    </r>
    <r>
      <rPr>
        <sz val="10"/>
        <rFont val="Times New Roman"/>
        <family val="1"/>
      </rPr>
      <t>4)</t>
    </r>
  </si>
  <si>
    <t>Table 24 Duration of Each Category of Training (Cont.3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</si>
  <si>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24</t>
    </r>
    <r>
      <rPr>
        <sz val="14"/>
        <rFont val="標楷體"/>
        <family val="4"/>
      </rPr>
      <t>　各項訓練訓期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</si>
  <si>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r>
      <t>2</t>
    </r>
    <r>
      <rPr>
        <sz val="11"/>
        <rFont val="標楷體"/>
        <family val="4"/>
      </rPr>
      <t>日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</si>
  <si>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25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</si>
  <si>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t>Table 25 Number of Each Category of Training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</si>
  <si>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26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</si>
  <si>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t>Table 26 Number of Each Category of Training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</si>
  <si>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27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 xml:space="preserve">) </t>
    </r>
  </si>
  <si>
    <t>Table 27 Number of Each Category of Training (Cont.2 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</si>
  <si>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28</t>
    </r>
    <r>
      <rPr>
        <sz val="14"/>
        <rFont val="標楷體"/>
        <family val="4"/>
      </rPr>
      <t>　各項訓練女性學員比例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完</t>
    </r>
    <r>
      <rPr>
        <sz val="14"/>
        <rFont val="Times New Roman"/>
        <family val="1"/>
      </rPr>
      <t>)</t>
    </r>
  </si>
  <si>
    <t>Table 28 Ratio of Female Participants in Each Category of Training (Cont.2 End)</t>
  </si>
  <si>
    <t>表 32　特種考試錄取人員訓練(續13完)</t>
  </si>
  <si>
    <t>Table 32 TTraining for Special Civil Service Examination Qualifiers (Cont.13 End)</t>
  </si>
  <si>
    <t>表 33　升任官等訓練 (續3完)</t>
  </si>
  <si>
    <t>Table 33 Rank Promotion Training (Cont.3 End)</t>
  </si>
  <si>
    <t>表 34　人事人員訓練 (續2完)</t>
  </si>
  <si>
    <t>Table 34 Personnel Officials Training (Cont.2 End)</t>
  </si>
  <si>
    <t>表 36　其他相關訓練 (續4完)</t>
  </si>
  <si>
    <t>Table 36 Other Related Training (Cont.4 End)</t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</si>
  <si>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</si>
  <si>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t xml:space="preserve">          2.The statistics is based on individual. An individual participating in one or more sesssions of training are considered only one person as a result. This</t>
  </si>
  <si>
    <t xml:space="preserve">             applies when an individual.</t>
  </si>
  <si>
    <r>
      <t xml:space="preserve">  </t>
    </r>
    <r>
      <rPr>
        <sz val="10"/>
        <rFont val="標楷體"/>
        <family val="4"/>
      </rPr>
      <t xml:space="preserve">臺北市政府基層公務人員
</t>
    </r>
    <r>
      <rPr>
        <sz val="10"/>
        <rFont val="Times New Roman"/>
        <family val="1"/>
      </rPr>
      <t xml:space="preserve">  Taipei Municipal Government
  Entry-Level Civil Servants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</si>
  <si>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2002</t>
    </r>
  </si>
  <si>
    <r>
      <t xml:space="preserve">訓　　練　　名　　稱
</t>
    </r>
    <r>
      <rPr>
        <sz val="10"/>
        <rFont val="Times New Roman"/>
        <family val="1"/>
      </rPr>
      <t>Categories of Training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</si>
  <si>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              Education Level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</si>
  <si>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</si>
  <si>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t xml:space="preserve">             including education, traffic (Taiwan Area National Freeway Bureau, Ministry of Transportation and Communications, and Directorate General of Highways,</t>
  </si>
  <si>
    <t xml:space="preserve">             education, traffic (Taiwan Area National Freeway Bureau, Ministry of Transportation and Communications, and Directorate General of Highways, Ministry of </t>
  </si>
  <si>
    <t xml:space="preserve">             Ministrys of Transportation and Communications finance, production (Bureau of   Minis. Ministry of Economic Affairs)  and clerk, contract </t>
  </si>
  <si>
    <t xml:space="preserve">             Ministrys of Transportation and Communications finance, production (Bureau of   Minis. Ministry of Economic Affairs)  and clerk, contract </t>
  </si>
  <si>
    <t xml:space="preserve">             education, traffic (Taiwan Area National Freeway Bureau, Ministry of Transportation and Communication, and Directorate General Highways,</t>
  </si>
  <si>
    <t xml:space="preserve">             education, traffic (Taiwan Area National Freeway Bureau, Ministry of Transportation and Communication, and Directorate General Highways,</t>
  </si>
  <si>
    <t xml:space="preserve">            employee,  about the number of employed  personnel.</t>
  </si>
  <si>
    <t xml:space="preserve">             employee,  about the number of employed  personnel.</t>
  </si>
  <si>
    <r>
      <rPr>
        <sz val="10"/>
        <rFont val="標楷體"/>
        <family val="4"/>
      </rPr>
      <t>　司法人員</t>
    </r>
    <r>
      <rPr>
        <sz val="10"/>
        <rFont val="Times New Roman"/>
        <family val="1"/>
      </rPr>
      <t xml:space="preserve">  
     Judicial Personnel</t>
    </r>
  </si>
  <si>
    <r>
      <rPr>
        <sz val="10"/>
        <rFont val="標楷體"/>
        <family val="4"/>
      </rPr>
      <t xml:space="preserve">　丁等
</t>
    </r>
    <r>
      <rPr>
        <sz val="10"/>
        <rFont val="Times New Roman"/>
        <family val="1"/>
      </rPr>
      <t xml:space="preserve">     Grade D</t>
    </r>
  </si>
  <si>
    <r>
      <rPr>
        <sz val="10"/>
        <rFont val="標楷體"/>
        <family val="4"/>
      </rPr>
      <t xml:space="preserve">　國家安全局國家安全情報人員
</t>
    </r>
    <r>
      <rPr>
        <sz val="10"/>
        <rFont val="Times New Roman"/>
        <family val="1"/>
      </rPr>
      <t xml:space="preserve">     National Security Agents and 
     Intelligence Agents of the 
     National Security Bureau</t>
    </r>
  </si>
  <si>
    <r>
      <rPr>
        <sz val="10"/>
        <rFont val="標楷體"/>
        <family val="4"/>
      </rPr>
      <t xml:space="preserve">　法務部調查局調查人員
</t>
    </r>
    <r>
      <rPr>
        <sz val="10"/>
        <rFont val="Times New Roman"/>
        <family val="1"/>
      </rPr>
      <t xml:space="preserve">     Investigative Agents of the 
     Investigation Bureau, Ministry 
     of Justice</t>
    </r>
  </si>
  <si>
    <r>
      <rPr>
        <sz val="10"/>
        <rFont val="標楷體"/>
        <family val="4"/>
      </rPr>
      <t>　警察人員</t>
    </r>
    <r>
      <rPr>
        <sz val="10"/>
        <rFont val="Times New Roman"/>
        <family val="1"/>
      </rPr>
      <t xml:space="preserve"> Police Officer</t>
    </r>
  </si>
  <si>
    <r>
      <rPr>
        <sz val="10"/>
        <rFont val="標楷體"/>
        <family val="4"/>
      </rPr>
      <t>　民航人員</t>
    </r>
    <r>
      <rPr>
        <sz val="10"/>
        <rFont val="Times New Roman"/>
        <family val="1"/>
      </rPr>
      <t xml:space="preserve"> Civil Aviation Personnel</t>
    </r>
  </si>
  <si>
    <r>
      <rPr>
        <sz val="10"/>
        <rFont val="標楷體"/>
        <family val="4"/>
      </rPr>
      <t>　稅務金融人員</t>
    </r>
    <r>
      <rPr>
        <sz val="10"/>
        <rFont val="Times New Roman"/>
        <family val="1"/>
      </rPr>
      <t xml:space="preserve"> 
     Taxes and Finance Personnel</t>
    </r>
  </si>
  <si>
    <r>
      <rPr>
        <sz val="10"/>
        <rFont val="標楷體"/>
        <family val="4"/>
      </rPr>
      <t>　稅務人員</t>
    </r>
    <r>
      <rPr>
        <sz val="10"/>
        <rFont val="Times New Roman"/>
        <family val="1"/>
      </rPr>
      <t xml:space="preserve"> Taxation Personnel</t>
    </r>
  </si>
  <si>
    <r>
      <rPr>
        <sz val="10"/>
        <rFont val="標楷體"/>
        <family val="4"/>
      </rPr>
      <t xml:space="preserve">　經濟部專利商標審查人員
</t>
    </r>
    <r>
      <rPr>
        <sz val="10"/>
        <rFont val="Times New Roman"/>
        <family val="1"/>
      </rPr>
      <t xml:space="preserve">     Patent and Trademark
     Application Reviewers
     Ministry of Economic Affairs</t>
    </r>
  </si>
  <si>
    <r>
      <rPr>
        <sz val="10"/>
        <rFont val="標楷體"/>
        <family val="4"/>
      </rPr>
      <t xml:space="preserve">　國際經濟商務人員
</t>
    </r>
    <r>
      <rPr>
        <sz val="10"/>
        <rFont val="Times New Roman"/>
        <family val="1"/>
      </rPr>
      <t xml:space="preserve">     International Trade Officers</t>
    </r>
  </si>
  <si>
    <r>
      <rPr>
        <sz val="10"/>
        <rFont val="標楷體"/>
        <family val="4"/>
      </rPr>
      <t xml:space="preserve">　交通事業郵政人員
</t>
    </r>
    <r>
      <rPr>
        <sz val="10"/>
        <rFont val="Times New Roman"/>
        <family val="1"/>
      </rPr>
      <t xml:space="preserve">     Transportation Enterprise
     Postal Personnel</t>
    </r>
  </si>
  <si>
    <r>
      <rPr>
        <sz val="10"/>
        <rFont val="標楷體"/>
        <family val="4"/>
      </rPr>
      <t xml:space="preserve">　交通事業鐵路人員
</t>
    </r>
    <r>
      <rPr>
        <sz val="10"/>
        <rFont val="Times New Roman"/>
        <family val="1"/>
      </rPr>
      <t xml:space="preserve">     Transportation Enterprise 
     Railways Personnel</t>
    </r>
  </si>
  <si>
    <r>
      <rPr>
        <sz val="10"/>
        <rFont val="標楷體"/>
        <family val="4"/>
      </rPr>
      <t xml:space="preserve">　國防部文職人員
</t>
    </r>
    <r>
      <rPr>
        <sz val="10"/>
        <rFont val="Times New Roman"/>
        <family val="1"/>
      </rPr>
      <t xml:space="preserve">     Ministry of Defense
     Administrative Personnel</t>
    </r>
  </si>
  <si>
    <r>
      <t xml:space="preserve">  </t>
    </r>
    <r>
      <rPr>
        <sz val="10"/>
        <rFont val="標楷體"/>
        <family val="4"/>
      </rPr>
      <t>主管人員</t>
    </r>
    <r>
      <rPr>
        <sz val="10"/>
        <rFont val="Times New Roman"/>
        <family val="1"/>
      </rPr>
      <t xml:space="preserve"> Executives</t>
    </r>
  </si>
  <si>
    <r>
      <t xml:space="preserve">  </t>
    </r>
    <r>
      <rPr>
        <sz val="10"/>
        <rFont val="標楷體"/>
        <family val="4"/>
      </rPr>
      <t xml:space="preserve">薦任非主管人員
</t>
    </r>
    <r>
      <rPr>
        <sz val="10"/>
        <rFont val="Times New Roman"/>
        <family val="1"/>
      </rPr>
      <t xml:space="preserve">  Junior Rank Non-Executives</t>
    </r>
  </si>
  <si>
    <r>
      <t xml:space="preserve">  </t>
    </r>
    <r>
      <rPr>
        <sz val="10"/>
        <rFont val="標楷體"/>
        <family val="4"/>
      </rPr>
      <t xml:space="preserve">委任非主管人員
</t>
    </r>
    <r>
      <rPr>
        <sz val="10"/>
        <rFont val="Times New Roman"/>
        <family val="1"/>
      </rPr>
      <t xml:space="preserve">  Elementary Rank Non-Executives</t>
    </r>
  </si>
  <si>
    <r>
      <t xml:space="preserve">  </t>
    </r>
    <r>
      <rPr>
        <sz val="10"/>
        <rFont val="標楷體"/>
        <family val="4"/>
      </rPr>
      <t xml:space="preserve">初任各官等主管人員
</t>
    </r>
    <r>
      <rPr>
        <sz val="10"/>
        <rFont val="Times New Roman"/>
        <family val="1"/>
      </rPr>
      <t xml:space="preserve">  Newly Appointed Managers of
  all Ranks</t>
    </r>
  </si>
  <si>
    <r>
      <t xml:space="preserve">  </t>
    </r>
    <r>
      <rPr>
        <sz val="10"/>
        <rFont val="標楷體"/>
        <family val="4"/>
      </rPr>
      <t>高階主管人員</t>
    </r>
    <r>
      <rPr>
        <sz val="10"/>
        <rFont val="Times New Roman"/>
        <family val="1"/>
      </rPr>
      <t xml:space="preserve"> High-Level Executives</t>
    </r>
  </si>
  <si>
    <r>
      <rPr>
        <sz val="11"/>
        <rFont val="標楷體"/>
        <family val="4"/>
      </rPr>
      <t>－按各訓練</t>
    </r>
    <r>
      <rPr>
        <sz val="11"/>
        <rFont val="標楷體"/>
        <family val="4"/>
      </rPr>
      <t>占總計百分比分</t>
    </r>
  </si>
  <si>
    <r>
      <t xml:space="preserve">    </t>
    </r>
    <r>
      <rPr>
        <sz val="10"/>
        <rFont val="標楷體"/>
        <family val="4"/>
      </rPr>
      <t>交通事業港務人員</t>
    </r>
    <r>
      <rPr>
        <sz val="10"/>
        <rFont val="Times New Roman"/>
        <family val="1"/>
      </rPr>
      <t xml:space="preserve"> 
     Transportation Enterprise 
     Harbor Management Personnel</t>
    </r>
  </si>
  <si>
    <r>
      <rPr>
        <sz val="10"/>
        <rFont val="標楷體"/>
        <family val="4"/>
      </rPr>
      <t>　交通事業公路人員</t>
    </r>
    <r>
      <rPr>
        <sz val="10"/>
        <rFont val="Times New Roman"/>
        <family val="1"/>
      </rPr>
      <t xml:space="preserve"> 
     Transportation Enterprise
     Highway Personnel</t>
    </r>
  </si>
  <si>
    <r>
      <t xml:space="preserve">    </t>
    </r>
    <r>
      <rPr>
        <sz val="10"/>
        <rFont val="標楷體"/>
        <family val="4"/>
      </rPr>
      <t>關務人員</t>
    </r>
    <r>
      <rPr>
        <sz val="10"/>
        <rFont val="Times New Roman"/>
        <family val="1"/>
      </rPr>
      <t xml:space="preserve"> Customs Personnel</t>
    </r>
  </si>
  <si>
    <r>
      <t>3.</t>
    </r>
    <r>
      <rPr>
        <sz val="10"/>
        <rFont val="標楷體"/>
        <family val="4"/>
      </rPr>
      <t>升任官等訓練</t>
    </r>
    <r>
      <rPr>
        <sz val="10"/>
        <rFont val="Times New Roman"/>
        <family val="1"/>
      </rPr>
      <t xml:space="preserve"> 
   Rank promotion Training</t>
    </r>
  </si>
  <si>
    <r>
      <rPr>
        <sz val="10"/>
        <rFont val="標楷體"/>
        <family val="4"/>
      </rPr>
      <t xml:space="preserve">　薦任公務人員晉升簡任官等
</t>
    </r>
    <r>
      <rPr>
        <sz val="10"/>
        <rFont val="Times New Roman"/>
        <family val="1"/>
      </rPr>
      <t xml:space="preserve">    Junior to Senior Rank Promotion</t>
    </r>
  </si>
  <si>
    <r>
      <rPr>
        <sz val="10"/>
        <rFont val="標楷體"/>
        <family val="4"/>
      </rPr>
      <t xml:space="preserve">　交通事業人員員級晉升高員級資位
</t>
    </r>
    <r>
      <rPr>
        <sz val="10"/>
        <rFont val="Times New Roman"/>
        <family val="1"/>
      </rPr>
      <t xml:space="preserve">    Transportation Enterprise Officer to 
    Senior Officer Rank Promotion</t>
    </r>
  </si>
  <si>
    <r>
      <t>4.</t>
    </r>
    <r>
      <rPr>
        <sz val="10"/>
        <rFont val="標楷體"/>
        <family val="4"/>
      </rPr>
      <t xml:space="preserve">人事人員訓練
</t>
    </r>
    <r>
      <rPr>
        <sz val="10"/>
        <rFont val="Times New Roman"/>
        <family val="1"/>
      </rPr>
      <t xml:space="preserve">   Personnel Officials Training</t>
    </r>
  </si>
  <si>
    <r>
      <rPr>
        <sz val="9"/>
        <rFont val="標楷體"/>
        <family val="4"/>
      </rPr>
      <t>　民航人員</t>
    </r>
    <r>
      <rPr>
        <sz val="9"/>
        <rFont val="Times New Roman"/>
        <family val="1"/>
      </rPr>
      <t xml:space="preserve"> Civil Aviation Personnel</t>
    </r>
  </si>
  <si>
    <r>
      <t>1.</t>
    </r>
    <r>
      <rPr>
        <sz val="9"/>
        <rFont val="標楷體"/>
        <family val="4"/>
      </rPr>
      <t xml:space="preserve">高等普通初等考試錄取人員訓練
</t>
    </r>
    <r>
      <rPr>
        <sz val="9"/>
        <rFont val="Times New Roman"/>
        <family val="1"/>
      </rPr>
      <t xml:space="preserve">   Training for Elementray, Junior and Senior
   Civil Service Examination Qualifiers      </t>
    </r>
  </si>
  <si>
    <r>
      <t>2.</t>
    </r>
    <r>
      <rPr>
        <sz val="9"/>
        <rFont val="標楷體"/>
        <family val="4"/>
      </rPr>
      <t xml:space="preserve">特種考試錄取人員訓練
</t>
    </r>
    <r>
      <rPr>
        <sz val="9"/>
        <rFont val="Times New Roman"/>
        <family val="1"/>
      </rPr>
      <t xml:space="preserve">   Training for Special Civil Service
   Examination Qualifiers       </t>
    </r>
  </si>
  <si>
    <r>
      <t xml:space="preserve">  </t>
    </r>
    <r>
      <rPr>
        <sz val="9"/>
        <rFont val="標楷體"/>
        <family val="4"/>
      </rPr>
      <t xml:space="preserve">臺灣省及福建省基層公務人員
</t>
    </r>
    <r>
      <rPr>
        <sz val="9"/>
        <rFont val="Times New Roman"/>
        <family val="1"/>
      </rPr>
      <t xml:space="preserve">  Taiwan Province and Fuchien Province 
  Entry-level Civil Servants</t>
    </r>
  </si>
  <si>
    <r>
      <rPr>
        <sz val="9"/>
        <rFont val="標楷體"/>
        <family val="4"/>
      </rPr>
      <t xml:space="preserve">　國家安全局國家安全情報人員
</t>
    </r>
    <r>
      <rPr>
        <sz val="9"/>
        <rFont val="Times New Roman"/>
        <family val="1"/>
      </rPr>
      <t xml:space="preserve">     National Security Agents and Intelligence
     Agents of the National Security Bureau</t>
    </r>
  </si>
  <si>
    <r>
      <rPr>
        <sz val="9"/>
        <rFont val="標楷體"/>
        <family val="4"/>
      </rPr>
      <t xml:space="preserve">　法務部調查局調查人員
</t>
    </r>
    <r>
      <rPr>
        <sz val="9"/>
        <rFont val="Times New Roman"/>
        <family val="1"/>
      </rPr>
      <t xml:space="preserve">     Investigative Agents of the Investigation
     Bureau, Ministry of Justice</t>
    </r>
  </si>
  <si>
    <r>
      <rPr>
        <sz val="9"/>
        <rFont val="標楷體"/>
        <family val="4"/>
      </rPr>
      <t xml:space="preserve">　外交領事暨國際新聞人員
</t>
    </r>
    <r>
      <rPr>
        <sz val="9"/>
        <rFont val="Times New Roman"/>
        <family val="1"/>
      </rPr>
      <t xml:space="preserve">     Diplomatic and Consular Personnel &amp;
     International Informaiton Officers</t>
    </r>
  </si>
  <si>
    <r>
      <rPr>
        <sz val="9"/>
        <rFont val="標楷體"/>
        <family val="4"/>
      </rPr>
      <t>　稅務金融人員</t>
    </r>
    <r>
      <rPr>
        <sz val="9"/>
        <rFont val="Times New Roman"/>
        <family val="1"/>
      </rPr>
      <t xml:space="preserve"> Taxes and Finance Personnel</t>
    </r>
  </si>
  <si>
    <r>
      <rPr>
        <sz val="9"/>
        <rFont val="標楷體"/>
        <family val="4"/>
      </rPr>
      <t xml:space="preserve">　稅務人員 </t>
    </r>
    <r>
      <rPr>
        <sz val="9"/>
        <rFont val="Times New Roman"/>
        <family val="1"/>
      </rPr>
      <t>Taxation Personnel</t>
    </r>
  </si>
  <si>
    <r>
      <rPr>
        <sz val="9"/>
        <rFont val="標楷體"/>
        <family val="4"/>
      </rPr>
      <t xml:space="preserve">　關務人員 </t>
    </r>
    <r>
      <rPr>
        <sz val="9"/>
        <rFont val="Times New Roman"/>
        <family val="1"/>
      </rPr>
      <t>Customs Officers</t>
    </r>
  </si>
  <si>
    <r>
      <rPr>
        <sz val="9"/>
        <rFont val="標楷體"/>
        <family val="4"/>
      </rPr>
      <t xml:space="preserve">　經濟部專利商標審查人員
</t>
    </r>
    <r>
      <rPr>
        <sz val="9"/>
        <rFont val="Times New Roman"/>
        <family val="1"/>
      </rPr>
      <t xml:space="preserve">     Patent and Trademark Application Reviewers
     Ministry of Economic Affairs</t>
    </r>
  </si>
  <si>
    <r>
      <rPr>
        <sz val="9"/>
        <rFont val="標楷體"/>
        <family val="4"/>
      </rPr>
      <t xml:space="preserve">　交通事業郵政人員
</t>
    </r>
    <r>
      <rPr>
        <sz val="9"/>
        <rFont val="Times New Roman"/>
        <family val="1"/>
      </rPr>
      <t xml:space="preserve">     Transportation Enterprise Postal Personnel</t>
    </r>
  </si>
  <si>
    <r>
      <t xml:space="preserve">  </t>
    </r>
    <r>
      <rPr>
        <sz val="10"/>
        <rFont val="標楷體"/>
        <family val="4"/>
      </rPr>
      <t>監察院調查人員</t>
    </r>
    <r>
      <rPr>
        <sz val="10"/>
        <rFont val="Times New Roman"/>
        <family val="1"/>
      </rPr>
      <t xml:space="preserve"> 
  Investigative Agents of the
  Control Yuan</t>
    </r>
  </si>
  <si>
    <r>
      <t xml:space="preserve">  </t>
    </r>
    <r>
      <rPr>
        <sz val="10"/>
        <rFont val="標楷體"/>
        <family val="4"/>
      </rPr>
      <t>監察院調查人員</t>
    </r>
    <r>
      <rPr>
        <sz val="10"/>
        <rFont val="Times New Roman"/>
        <family val="1"/>
      </rPr>
      <t xml:space="preserve"> 
  Investigative Agents of the Control Yuan</t>
    </r>
  </si>
  <si>
    <r>
      <rPr>
        <sz val="10"/>
        <rFont val="標楷體"/>
        <family val="4"/>
      </rPr>
      <t xml:space="preserve">　退除役軍人轉任公務人員
</t>
    </r>
    <r>
      <rPr>
        <sz val="10"/>
        <rFont val="Times New Roman"/>
        <family val="1"/>
      </rPr>
      <t xml:space="preserve">     Military Veterans
     Transferring to the Civil
     Service</t>
    </r>
  </si>
  <si>
    <r>
      <rPr>
        <sz val="9"/>
        <rFont val="標楷體"/>
        <family val="4"/>
      </rPr>
      <t>　交通事業公路人員</t>
    </r>
    <r>
      <rPr>
        <sz val="9"/>
        <rFont val="Times New Roman"/>
        <family val="1"/>
      </rPr>
      <t xml:space="preserve"> 
     Transportation Enterprise Highway Personnel</t>
    </r>
  </si>
  <si>
    <r>
      <rPr>
        <sz val="9"/>
        <rFont val="標楷體"/>
        <family val="4"/>
      </rPr>
      <t xml:space="preserve">　交通事業鐵路人員
</t>
    </r>
    <r>
      <rPr>
        <sz val="9"/>
        <rFont val="Times New Roman"/>
        <family val="1"/>
      </rPr>
      <t xml:space="preserve">     Transportation Enterprise Railways Personnel</t>
    </r>
  </si>
  <si>
    <r>
      <rPr>
        <sz val="9"/>
        <rFont val="標楷體"/>
        <family val="4"/>
      </rPr>
      <t xml:space="preserve">　國防部文職人員
</t>
    </r>
    <r>
      <rPr>
        <sz val="9"/>
        <rFont val="Times New Roman"/>
        <family val="1"/>
      </rPr>
      <t xml:space="preserve">     Ministry of Defense Administrative Personnel</t>
    </r>
  </si>
  <si>
    <r>
      <rPr>
        <sz val="9"/>
        <rFont val="標楷體"/>
        <family val="4"/>
      </rPr>
      <t xml:space="preserve">　薦任公務人員晉升簡任官等
</t>
    </r>
    <r>
      <rPr>
        <sz val="9"/>
        <rFont val="Times New Roman"/>
        <family val="1"/>
      </rPr>
      <t xml:space="preserve">    Junior to Senior Rank Promotion</t>
    </r>
  </si>
  <si>
    <r>
      <rPr>
        <sz val="9"/>
        <rFont val="標楷體"/>
        <family val="4"/>
      </rPr>
      <t>　委任公務人員晉升薦任官等</t>
    </r>
    <r>
      <rPr>
        <sz val="9"/>
        <rFont val="Times New Roman"/>
        <family val="1"/>
      </rPr>
      <t xml:space="preserve"> 
    Elementary to Junior Rank
    Promotion</t>
    </r>
  </si>
  <si>
    <r>
      <rPr>
        <sz val="9"/>
        <rFont val="標楷體"/>
        <family val="4"/>
      </rPr>
      <t xml:space="preserve">　警佐警察人員晉升警正官等
</t>
    </r>
    <r>
      <rPr>
        <sz val="9"/>
        <rFont val="Times New Roman"/>
        <family val="1"/>
      </rPr>
      <t xml:space="preserve">    Police Sergeant to Major
    Rank Promotion</t>
    </r>
  </si>
  <si>
    <r>
      <rPr>
        <sz val="9"/>
        <rFont val="標楷體"/>
        <family val="4"/>
      </rPr>
      <t xml:space="preserve">　交通事業人員員級晉升高員級資位
</t>
    </r>
    <r>
      <rPr>
        <sz val="9"/>
        <rFont val="Times New Roman"/>
        <family val="1"/>
      </rPr>
      <t xml:space="preserve">    Transportation Enterprise Officer to 
    Senior Officer Rank Promotion</t>
    </r>
  </si>
  <si>
    <r>
      <t xml:space="preserve">  </t>
    </r>
    <r>
      <rPr>
        <sz val="9"/>
        <rFont val="標楷體"/>
        <family val="4"/>
      </rPr>
      <t>人事主管人員</t>
    </r>
    <r>
      <rPr>
        <sz val="9"/>
        <rFont val="Times New Roman"/>
        <family val="1"/>
      </rPr>
      <t xml:space="preserve"> Personnel Executives</t>
    </r>
  </si>
  <si>
    <r>
      <t xml:space="preserve">  </t>
    </r>
    <r>
      <rPr>
        <sz val="9"/>
        <rFont val="標楷體"/>
        <family val="4"/>
      </rPr>
      <t>薦任及委任非主管人事人員</t>
    </r>
    <r>
      <rPr>
        <sz val="9"/>
        <rFont val="Times New Roman"/>
        <family val="1"/>
      </rPr>
      <t xml:space="preserve"> 
  Junior/Elementary Rank
  Non-Personnel Executives</t>
    </r>
  </si>
  <si>
    <r>
      <t xml:space="preserve">  </t>
    </r>
    <r>
      <rPr>
        <sz val="9"/>
        <rFont val="標楷體"/>
        <family val="4"/>
      </rPr>
      <t xml:space="preserve">兼辦人事業務人員
</t>
    </r>
    <r>
      <rPr>
        <sz val="9"/>
        <rFont val="Times New Roman"/>
        <family val="1"/>
      </rPr>
      <t xml:space="preserve">  Part-Time Personnel Officials</t>
    </r>
  </si>
  <si>
    <r>
      <t xml:space="preserve">  </t>
    </r>
    <r>
      <rPr>
        <sz val="9"/>
        <rFont val="標楷體"/>
        <family val="4"/>
      </rPr>
      <t>高階主管人員</t>
    </r>
    <r>
      <rPr>
        <sz val="9"/>
        <rFont val="Times New Roman"/>
        <family val="1"/>
      </rPr>
      <t xml:space="preserve"> High-Level Executives</t>
    </r>
  </si>
  <si>
    <r>
      <t xml:space="preserve">  </t>
    </r>
    <r>
      <rPr>
        <sz val="9"/>
        <rFont val="標楷體"/>
        <family val="4"/>
      </rPr>
      <t>主管人員</t>
    </r>
    <r>
      <rPr>
        <sz val="9"/>
        <rFont val="Times New Roman"/>
        <family val="1"/>
      </rPr>
      <t xml:space="preserve"> Executives</t>
    </r>
  </si>
  <si>
    <r>
      <t xml:space="preserve">  </t>
    </r>
    <r>
      <rPr>
        <sz val="9"/>
        <rFont val="標楷體"/>
        <family val="4"/>
      </rPr>
      <t xml:space="preserve">薦任非主管人員
</t>
    </r>
    <r>
      <rPr>
        <sz val="9"/>
        <rFont val="Times New Roman"/>
        <family val="1"/>
      </rPr>
      <t xml:space="preserve">  Junior Rank Non-Executives</t>
    </r>
  </si>
  <si>
    <r>
      <t xml:space="preserve">  </t>
    </r>
    <r>
      <rPr>
        <sz val="9"/>
        <rFont val="標楷體"/>
        <family val="4"/>
      </rPr>
      <t xml:space="preserve">委任非主管人員
</t>
    </r>
    <r>
      <rPr>
        <sz val="9"/>
        <rFont val="Times New Roman"/>
        <family val="1"/>
      </rPr>
      <t xml:space="preserve">  Elementary Rank Non-Executives</t>
    </r>
  </si>
  <si>
    <r>
      <t xml:space="preserve">  </t>
    </r>
    <r>
      <rPr>
        <sz val="9"/>
        <rFont val="標楷體"/>
        <family val="4"/>
      </rPr>
      <t xml:space="preserve">初任各官等主管人員
</t>
    </r>
    <r>
      <rPr>
        <sz val="9"/>
        <rFont val="Times New Roman"/>
        <family val="1"/>
      </rPr>
      <t xml:space="preserve">  Newly Appointed Managers of
  all Ranks</t>
    </r>
  </si>
  <si>
    <r>
      <rPr>
        <sz val="9"/>
        <rFont val="標楷體"/>
        <family val="4"/>
      </rPr>
      <t xml:space="preserve">　退除役軍人轉任公務人員
</t>
    </r>
    <r>
      <rPr>
        <sz val="9"/>
        <rFont val="Times New Roman"/>
        <family val="1"/>
      </rPr>
      <t xml:space="preserve">     Military Veterans Transferring to the Civil Service</t>
    </r>
  </si>
  <si>
    <r>
      <t xml:space="preserve">  </t>
    </r>
    <r>
      <rPr>
        <sz val="9"/>
        <rFont val="標楷體"/>
        <family val="4"/>
      </rPr>
      <t>地方政府公務人員</t>
    </r>
    <r>
      <rPr>
        <sz val="9"/>
        <rFont val="Times New Roman"/>
        <family val="1"/>
      </rPr>
      <t xml:space="preserve"> Local Government Civil Servants </t>
    </r>
  </si>
  <si>
    <r>
      <rPr>
        <sz val="9"/>
        <rFont val="標楷體"/>
        <family val="4"/>
      </rPr>
      <t>　國際經濟商務人員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International Trade Officers</t>
    </r>
  </si>
  <si>
    <r>
      <t xml:space="preserve">    </t>
    </r>
    <r>
      <rPr>
        <sz val="9"/>
        <rFont val="標楷體"/>
        <family val="4"/>
      </rPr>
      <t>交通事業港務人員</t>
    </r>
    <r>
      <rPr>
        <sz val="9"/>
        <rFont val="Times New Roman"/>
        <family val="1"/>
      </rPr>
      <t xml:space="preserve"> 
     Transportation Enterprise Harbor Management Personnel</t>
    </r>
  </si>
  <si>
    <t>Senior Examination</t>
  </si>
  <si>
    <t>Junior Examinations</t>
  </si>
  <si>
    <t>Elementary Examinations</t>
  </si>
  <si>
    <t>實有人數
Present Headcount</t>
  </si>
  <si>
    <r>
      <rPr>
        <sz val="10"/>
        <rFont val="標楷體"/>
        <family val="4"/>
      </rPr>
      <t>預算員額</t>
    </r>
    <r>
      <rPr>
        <sz val="10"/>
        <rFont val="Times New Roman"/>
        <family val="1"/>
      </rPr>
      <t xml:space="preserve"> 
Budget Headcount</t>
    </r>
  </si>
  <si>
    <t>預算員額
Budget Headcount</t>
  </si>
  <si>
    <r>
      <t xml:space="preserve">     -</t>
    </r>
    <r>
      <rPr>
        <sz val="10"/>
        <rFont val="標楷體"/>
        <family val="4"/>
      </rPr>
      <t>法醫師、檢驗員</t>
    </r>
    <r>
      <rPr>
        <sz val="10"/>
        <rFont val="Times New Roman"/>
        <family val="1"/>
      </rPr>
      <t xml:space="preserve"> 
      Forensic and Examination 
      Officer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</si>
  <si>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 xml:space="preserve"> Individuals Trained Population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</si>
  <si>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 xml:space="preserve"> Individuals Trained Population</t>
    </r>
  </si>
  <si>
    <r>
      <t xml:space="preserve">Unit 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</si>
  <si>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rPr>
        <sz val="10"/>
        <rFont val="標楷體"/>
        <family val="4"/>
      </rPr>
      <t xml:space="preserve">終身學習
</t>
    </r>
    <r>
      <rPr>
        <sz val="10"/>
        <rFont val="Times New Roman"/>
        <family val="1"/>
      </rPr>
      <t xml:space="preserve">Life-Long Learning 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</si>
  <si>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進
修</t>
    </r>
  </si>
  <si>
    <r>
      <rPr>
        <sz val="10"/>
        <rFont val="標楷體"/>
        <family val="4"/>
      </rPr>
      <t>進用初任公務人員訓練</t>
    </r>
    <r>
      <rPr>
        <sz val="10"/>
        <rFont val="Times New Roman"/>
        <family val="1"/>
      </rPr>
      <t xml:space="preserve">  
</t>
    </r>
    <r>
      <rPr>
        <sz val="10"/>
        <rFont val="Times New Roman"/>
        <family val="1"/>
      </rPr>
      <t xml:space="preserve">Training for Newly Appointed Civil Servants Servants       </t>
    </r>
    <r>
      <rPr>
        <sz val="10"/>
        <rFont val="標楷體"/>
        <family val="4"/>
      </rPr>
      <t>　　　　</t>
    </r>
  </si>
  <si>
    <r>
      <t xml:space="preserve">           -</t>
    </r>
    <r>
      <rPr>
        <sz val="10"/>
        <rFont val="標楷體"/>
        <family val="4"/>
      </rPr>
      <t xml:space="preserve">飛航諮詢
</t>
    </r>
    <r>
      <rPr>
        <sz val="10"/>
        <rFont val="Times New Roman"/>
        <family val="1"/>
      </rPr>
      <t xml:space="preserve">             Aviation Consulting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</si>
  <si>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-</t>
    </r>
    <r>
      <rPr>
        <sz val="10"/>
        <rFont val="標楷體"/>
        <family val="4"/>
      </rPr>
      <t xml:space="preserve">航務管理
</t>
    </r>
    <r>
      <rPr>
        <sz val="10"/>
        <rFont val="Times New Roman"/>
        <family val="1"/>
      </rPr>
      <t xml:space="preserve">             Management of Aviation Affairs</t>
    </r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</si>
  <si>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-</t>
    </r>
    <r>
      <rPr>
        <sz val="10"/>
        <rFont val="標楷體"/>
        <family val="4"/>
      </rPr>
      <t xml:space="preserve">航空通信
</t>
    </r>
    <r>
      <rPr>
        <sz val="10"/>
        <rFont val="Times New Roman"/>
        <family val="1"/>
      </rPr>
      <t xml:space="preserve">             Aerospace Communication</t>
    </r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</si>
  <si>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</si>
  <si>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</si>
  <si>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</si>
  <si>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</si>
  <si>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</si>
  <si>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</si>
  <si>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</si>
  <si>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</si>
  <si>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</si>
  <si>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</si>
  <si>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</si>
  <si>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</si>
  <si>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</si>
  <si>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表17</t>
  </si>
  <si>
    <t>表18</t>
  </si>
  <si>
    <t>表19</t>
  </si>
  <si>
    <t>表20</t>
  </si>
  <si>
    <t>表21</t>
  </si>
  <si>
    <t>表22</t>
  </si>
  <si>
    <t>表23</t>
  </si>
  <si>
    <t>表24</t>
  </si>
  <si>
    <t>表25</t>
  </si>
  <si>
    <t>表26</t>
  </si>
  <si>
    <t>表27</t>
  </si>
  <si>
    <t>表28</t>
  </si>
  <si>
    <t>表29</t>
  </si>
  <si>
    <t>表30</t>
  </si>
  <si>
    <t>表31</t>
  </si>
  <si>
    <t>表32</t>
  </si>
  <si>
    <t>表33</t>
  </si>
  <si>
    <t>表34</t>
  </si>
  <si>
    <t>表35</t>
  </si>
  <si>
    <t>表36</t>
  </si>
  <si>
    <t>表37</t>
  </si>
  <si>
    <t>表38</t>
  </si>
  <si>
    <t>起始頁碼</t>
  </si>
  <si>
    <t>表1</t>
  </si>
  <si>
    <t>表15</t>
  </si>
  <si>
    <t>表16</t>
  </si>
  <si>
    <t>From 2000 To 2009</t>
  </si>
  <si>
    <t>Training</t>
  </si>
  <si>
    <t>平均每人時數
Hours per Individual　　　　</t>
  </si>
  <si>
    <t>平均每人次數
Sessions per Individual　　　</t>
  </si>
  <si>
    <t>參與率(%)
Rate of Participation　　　　</t>
  </si>
  <si>
    <t>人次(次)
Number of Attendees　　　　</t>
  </si>
  <si>
    <t>人數(人)
Number of Individuals　　　</t>
  </si>
  <si>
    <t>單位：人</t>
  </si>
  <si>
    <t>Unit:%</t>
  </si>
  <si>
    <t>In Percentage of Total Individuals in Each Training Category</t>
  </si>
  <si>
    <t>In Percentage of Sub-Total Individuals in Each Training Category</t>
  </si>
  <si>
    <t>Unit:%</t>
  </si>
  <si>
    <t>Unit:age</t>
  </si>
  <si>
    <t>委任公務人員晉升薦任官等</t>
  </si>
  <si>
    <t>Elementary to Junior Rank Promotion</t>
  </si>
  <si>
    <t>警佐警察人員晉升警正官等</t>
  </si>
  <si>
    <t>Police Sergeant to Major Rank Promotion</t>
  </si>
  <si>
    <r>
      <rPr>
        <sz val="9"/>
        <rFont val="標楷體"/>
        <family val="4"/>
      </rPr>
      <t xml:space="preserve">初任各官等主管人員訓練
</t>
    </r>
    <r>
      <rPr>
        <sz val="9"/>
        <rFont val="Times New Roman"/>
        <family val="1"/>
      </rPr>
      <t>New Appointed Executives with All Ranks</t>
    </r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</t>
    </r>
  </si>
  <si>
    <r>
      <t xml:space="preserve">高階文官發展性培訓
</t>
    </r>
    <r>
      <rPr>
        <sz val="10"/>
        <rFont val="Times New Roman"/>
        <family val="1"/>
      </rPr>
      <t>Development Training of Senior Civil Service</t>
    </r>
  </si>
  <si>
    <r>
      <t xml:space="preserve">高階文官發展性培訓
</t>
    </r>
    <r>
      <rPr>
        <sz val="10"/>
        <rFont val="Times New Roman"/>
        <family val="1"/>
      </rPr>
      <t>Development Training of Senior Civil Service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</si>
  <si>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</si>
  <si>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</si>
  <si>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</si>
  <si>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t>中華民國九十一年至一百年</t>
  </si>
  <si>
    <t>From 2002 To 2011</t>
  </si>
  <si>
    <t>中華民國一百年</t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</si>
  <si>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2002</t>
    </r>
  </si>
  <si>
    <r>
      <t>92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2003</t>
    </r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</si>
  <si>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2004</t>
    </r>
  </si>
  <si>
    <r>
      <t>94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2005</t>
    </r>
  </si>
  <si>
    <r>
      <t>95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2006</t>
    </r>
  </si>
  <si>
    <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2007</t>
    </r>
  </si>
  <si>
    <r>
      <t>97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2008</t>
    </r>
  </si>
  <si>
    <r>
      <t>98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2009</t>
    </r>
  </si>
  <si>
    <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2010</t>
    </r>
  </si>
  <si>
    <r>
      <t>100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2011</t>
    </r>
  </si>
  <si>
    <t>-</t>
  </si>
  <si>
    <r>
      <t>100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2011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</si>
  <si>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2002</t>
    </r>
  </si>
  <si>
    <r>
      <t>92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2003</t>
    </r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</si>
  <si>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2004</t>
    </r>
  </si>
  <si>
    <r>
      <t>94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2005</t>
    </r>
  </si>
  <si>
    <r>
      <t>95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2006</t>
    </r>
  </si>
  <si>
    <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2007</t>
    </r>
  </si>
  <si>
    <r>
      <t>97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2008</t>
    </r>
  </si>
  <si>
    <r>
      <t>98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2009</t>
    </r>
  </si>
  <si>
    <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2010</t>
    </r>
  </si>
  <si>
    <r>
      <t>100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2011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</si>
  <si>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 2002</t>
    </r>
  </si>
  <si>
    <t>中華民國九十一年至一百年</t>
  </si>
  <si>
    <t>中華民國九十一年至一百年</t>
  </si>
  <si>
    <t>92年 2003</t>
  </si>
  <si>
    <t>95年 2006</t>
  </si>
  <si>
    <t>96年 2007</t>
  </si>
  <si>
    <t>98年 2009</t>
  </si>
  <si>
    <t>100年 2011</t>
  </si>
  <si>
    <t>91年 2002</t>
  </si>
  <si>
    <t>92年 2003</t>
  </si>
  <si>
    <t>95年 2006</t>
  </si>
  <si>
    <t>97年 2008</t>
  </si>
  <si>
    <t>94年 2005</t>
  </si>
  <si>
    <t>98年 2009</t>
  </si>
  <si>
    <t>91年 2002</t>
  </si>
  <si>
    <t>93年 2004</t>
  </si>
  <si>
    <t>99年 2010</t>
  </si>
  <si>
    <t>100年 2011</t>
  </si>
  <si>
    <t>93年 2004</t>
  </si>
  <si>
    <t>99年 2010</t>
  </si>
  <si>
    <t>98年 2009</t>
  </si>
  <si>
    <t>92年 2003</t>
  </si>
  <si>
    <t>94年 2005</t>
  </si>
  <si>
    <t>96年 2007</t>
  </si>
  <si>
    <t>94年 2005</t>
  </si>
  <si>
    <t>97年 2008</t>
  </si>
  <si>
    <t>100年 2011</t>
  </si>
  <si>
    <t>95年 2006</t>
  </si>
  <si>
    <t>96年 2007</t>
  </si>
  <si>
    <t>97年 2008</t>
  </si>
  <si>
    <t>From 2002 To 2011</t>
  </si>
  <si>
    <r>
      <t>小計</t>
    </r>
    <r>
      <rPr>
        <sz val="10"/>
        <rFont val="Times New Roman"/>
        <family val="1"/>
      </rPr>
      <t>Cumulative</t>
    </r>
  </si>
  <si>
    <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</si>
  <si>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</si>
  <si>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</si>
  <si>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</si>
  <si>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t>臺灣省及福建省基層公務人員</t>
  </si>
  <si>
    <t>Taiwan Province and Fuchien Province Entry-level Civil Servants</t>
  </si>
  <si>
    <r>
      <t>小計</t>
    </r>
    <r>
      <rPr>
        <sz val="10"/>
        <rFont val="Times New Roman"/>
        <family val="1"/>
      </rPr>
      <t>Cumulative</t>
    </r>
  </si>
  <si>
    <t>Taipei municipal government Entry-Level Civil Servants</t>
  </si>
  <si>
    <t>地方政府公務人員</t>
  </si>
  <si>
    <t>Local Government Civil Servants</t>
  </si>
  <si>
    <t>中華民國九十一年至一百年</t>
  </si>
  <si>
    <t>From 2002 To 2011</t>
  </si>
  <si>
    <t>表 32　特種考試錄取人員訓練(續1)</t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</si>
  <si>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</si>
  <si>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</si>
  <si>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</si>
  <si>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</si>
  <si>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</si>
  <si>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</si>
  <si>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t>丁等</t>
  </si>
  <si>
    <t>Grade D</t>
  </si>
  <si>
    <t>司法
人員</t>
  </si>
  <si>
    <t>Judicial Personnel</t>
  </si>
  <si>
    <t>表 32　特種考試錄取人員訓練(續2)</t>
  </si>
  <si>
    <t>國家安全局國家安全情報人員</t>
  </si>
  <si>
    <t>National Security Agents and Intelligence Agents of the National Security Bureau</t>
  </si>
  <si>
    <t>表 32　特種考試錄取人員訓練(續3)</t>
  </si>
  <si>
    <t>警察
人員</t>
  </si>
  <si>
    <t>表 32　特種考試錄取人員訓練(續4)</t>
  </si>
  <si>
    <t>Police Officer</t>
  </si>
  <si>
    <t>外交領事暨國際新聞人員</t>
  </si>
  <si>
    <t>Diplomatic and Consular Personnel &amp; International Informaiton Officers</t>
  </si>
  <si>
    <t>表 32　特種考試錄取人員訓練(續5)</t>
  </si>
  <si>
    <t>退除役軍人轉任公務人員</t>
  </si>
  <si>
    <t>Military Veterans Transferring to the Civil Service</t>
  </si>
  <si>
    <t>表 32　特種考試錄取人員訓練(續6)</t>
  </si>
  <si>
    <t>稅務
人員</t>
  </si>
  <si>
    <t>Taxation Personnel</t>
  </si>
  <si>
    <t>表 32　特種考試錄取人員訓練(續7)</t>
  </si>
  <si>
    <t>表 32　特種考試錄取人員訓練(續8)</t>
  </si>
  <si>
    <t>Patent and Trademark Application Reviewers Ministry of Economic Affairs</t>
  </si>
  <si>
    <t>國際經濟商務人員</t>
  </si>
  <si>
    <t>International Trade Officers</t>
  </si>
  <si>
    <t>中華民國九十一年至一百年</t>
  </si>
  <si>
    <t>表 32　特種考試錄取人員訓練(續9)</t>
  </si>
  <si>
    <t>原住民族人員</t>
  </si>
  <si>
    <t>表 32　特種考試錄取人員訓練(續10)</t>
  </si>
  <si>
    <t>The Disabled</t>
  </si>
  <si>
    <t>交通事業郵政人員</t>
  </si>
  <si>
    <t>Transportation Enterprise Postal Personnel</t>
  </si>
  <si>
    <t>交通事業公路人員</t>
  </si>
  <si>
    <t>表 32　特種考試錄取人員訓練(續11)</t>
  </si>
  <si>
    <t>Transportation Enterprise Highway Personnel</t>
  </si>
  <si>
    <t>海岸巡防人員</t>
  </si>
  <si>
    <t>Coast Guard Personnel</t>
  </si>
  <si>
    <t>表 32　特種考試錄取人員訓練(續12)</t>
  </si>
  <si>
    <t>國防部文職人員</t>
  </si>
  <si>
    <t>Ministry of Defense Administrative Personnel</t>
  </si>
  <si>
    <t>交通事業港務人員</t>
  </si>
  <si>
    <t>Transportation Enterprise Harbor Management Personnel</t>
  </si>
  <si>
    <t>水利人員及水土保持人員考試</t>
  </si>
  <si>
    <r>
      <t>小計</t>
    </r>
    <r>
      <rPr>
        <sz val="10"/>
        <rFont val="Times New Roman"/>
        <family val="1"/>
      </rPr>
      <t xml:space="preserve"> Cumulative</t>
    </r>
  </si>
  <si>
    <r>
      <t>小計</t>
    </r>
    <r>
      <rPr>
        <sz val="10"/>
        <rFont val="Times New Roman"/>
        <family val="1"/>
      </rPr>
      <t xml:space="preserve"> Cumulative</t>
    </r>
  </si>
  <si>
    <t>薦任公務人員晉升簡任官等</t>
  </si>
  <si>
    <t>Junior to Senior Rank Promotion</t>
  </si>
  <si>
    <t>警正警察人員晉升警監官等</t>
  </si>
  <si>
    <t>Police Major to Superintendent Rank</t>
  </si>
  <si>
    <t>表 33　升任官等訓練(續1)</t>
  </si>
  <si>
    <t>表 33　升任官等訓練(續2)</t>
  </si>
  <si>
    <t>交通事業人員員級晉升高員級資位</t>
  </si>
  <si>
    <t>Transportation Enterprise Officer to Senior Officer Rank Promotion</t>
  </si>
  <si>
    <t>人事主管人員</t>
  </si>
  <si>
    <t>Personnel Executives</t>
  </si>
  <si>
    <t>薦任及委任非主管人事人員</t>
  </si>
  <si>
    <t>Junior/Elementary Rank Non-Personnel Executives</t>
  </si>
  <si>
    <t>表 34　人事人員訓練 (續1)</t>
  </si>
  <si>
    <t>兼辦人事業務人員</t>
  </si>
  <si>
    <t>Part-Time Personnel Officials</t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</si>
  <si>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</si>
  <si>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高階主管人員</t>
  </si>
  <si>
    <t>High-Level Executives</t>
  </si>
  <si>
    <t>主管
人員</t>
  </si>
  <si>
    <t>Executives</t>
  </si>
  <si>
    <t>表 36　其他相關訓練 (續1)</t>
  </si>
  <si>
    <t>薦任非主管人員</t>
  </si>
  <si>
    <t>Junior Rank Non-Executives</t>
  </si>
  <si>
    <t>表 36　其他相關訓練 (續2)</t>
  </si>
  <si>
    <t>委任非主管人員</t>
  </si>
  <si>
    <t>Elementary Rank Non-Executives</t>
  </si>
  <si>
    <t>表 36　其他相關訓練 (續3)</t>
  </si>
  <si>
    <t>初任各官等主管人員</t>
  </si>
  <si>
    <t>Newly Appointed Executives of all Ranks</t>
  </si>
  <si>
    <t>中華民國九十二年至一百年</t>
  </si>
  <si>
    <t>From 2003 To 2011</t>
  </si>
  <si>
    <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</si>
  <si>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</si>
  <si>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</si>
  <si>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</si>
  <si>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</si>
  <si>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</si>
  <si>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</si>
  <si>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91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2002</t>
    </r>
  </si>
  <si>
    <r>
      <t>92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2003</t>
    </r>
  </si>
  <si>
    <r>
      <t>93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2004</t>
    </r>
  </si>
  <si>
    <r>
      <t>94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2005</t>
    </r>
  </si>
  <si>
    <r>
      <t>95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2006</t>
    </r>
  </si>
  <si>
    <r>
      <t>96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2007</t>
    </r>
  </si>
  <si>
    <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2008</t>
    </r>
  </si>
  <si>
    <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2009</t>
    </r>
  </si>
  <si>
    <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2010</t>
    </r>
  </si>
  <si>
    <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2011</t>
    </r>
  </si>
  <si>
    <r>
      <rPr>
        <sz val="10"/>
        <rFont val="標楷體"/>
        <family val="4"/>
      </rPr>
      <t xml:space="preserve">合　　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</si>
  <si>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　高等</t>
    </r>
    <r>
      <rPr>
        <sz val="10"/>
        <rFont val="Times New Roman"/>
        <family val="1"/>
      </rPr>
      <t xml:space="preserve"> Senior Examinations</t>
    </r>
  </si>
  <si>
    <r>
      <rPr>
        <sz val="10"/>
        <rFont val="標楷體"/>
        <family val="4"/>
      </rPr>
      <t>　普通</t>
    </r>
    <r>
      <rPr>
        <sz val="10"/>
        <rFont val="Times New Roman"/>
        <family val="1"/>
      </rPr>
      <t xml:space="preserve"> Junior Examinations</t>
    </r>
  </si>
  <si>
    <r>
      <rPr>
        <sz val="10"/>
        <rFont val="標楷體"/>
        <family val="4"/>
      </rPr>
      <t xml:space="preserve">　國家安全局國家安全情報人員
</t>
    </r>
    <r>
      <rPr>
        <sz val="10"/>
        <rFont val="Times New Roman"/>
        <family val="1"/>
      </rPr>
      <t xml:space="preserve">     National Security Agents and 
     Intelligence Agents of the 
     National Security Bureau</t>
    </r>
  </si>
  <si>
    <r>
      <rPr>
        <sz val="10"/>
        <rFont val="標楷體"/>
        <family val="4"/>
      </rPr>
      <t xml:space="preserve">　法務部調查局調查人員
</t>
    </r>
    <r>
      <rPr>
        <sz val="10"/>
        <rFont val="Times New Roman"/>
        <family val="1"/>
      </rPr>
      <t xml:space="preserve">     Investigative Agents of the 
     Investigation Bureau, Ministry 
     of Justice</t>
    </r>
  </si>
  <si>
    <r>
      <rPr>
        <sz val="10"/>
        <rFont val="標楷體"/>
        <family val="4"/>
      </rPr>
      <t xml:space="preserve">　監察院調查人員
</t>
    </r>
    <r>
      <rPr>
        <sz val="10"/>
        <rFont val="Times New Roman"/>
        <family val="1"/>
      </rPr>
      <t xml:space="preserve">     Investigative Agents of the 
     Control Yuan</t>
    </r>
  </si>
  <si>
    <r>
      <t>　</t>
    </r>
    <r>
      <rPr>
        <sz val="10"/>
        <rFont val="標楷體"/>
        <family val="4"/>
      </rPr>
      <t>監察院調查人員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 Investigative Agents of the 
     Control Yuan</t>
    </r>
  </si>
  <si>
    <r>
      <t>　</t>
    </r>
    <r>
      <rPr>
        <sz val="10"/>
        <rFont val="標楷體"/>
        <family val="4"/>
      </rPr>
      <t>監察院調查人員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 Investigative Agents of the 
     Control Yuan</t>
    </r>
  </si>
  <si>
    <r>
      <rPr>
        <sz val="10"/>
        <rFont val="標楷體"/>
        <family val="4"/>
      </rPr>
      <t>　警察人員</t>
    </r>
    <r>
      <rPr>
        <sz val="10"/>
        <rFont val="Times New Roman"/>
        <family val="1"/>
      </rPr>
      <t xml:space="preserve"> Police Officer</t>
    </r>
  </si>
  <si>
    <r>
      <rPr>
        <sz val="10"/>
        <rFont val="標楷體"/>
        <family val="4"/>
      </rPr>
      <t xml:space="preserve">　退除役軍人轉任公務人員
</t>
    </r>
    <r>
      <rPr>
        <sz val="10"/>
        <rFont val="Times New Roman"/>
        <family val="1"/>
      </rPr>
      <t xml:space="preserve">     Military Veterans
     Transferring to the Civil
     Service</t>
    </r>
  </si>
  <si>
    <r>
      <rPr>
        <sz val="10"/>
        <rFont val="標楷體"/>
        <family val="4"/>
      </rPr>
      <t>　民航人員</t>
    </r>
    <r>
      <rPr>
        <sz val="10"/>
        <rFont val="Times New Roman"/>
        <family val="1"/>
      </rPr>
      <t xml:space="preserve"> Civil Aviation Personnel</t>
    </r>
  </si>
  <si>
    <r>
      <rPr>
        <sz val="10"/>
        <rFont val="標楷體"/>
        <family val="4"/>
      </rPr>
      <t>　稅務金融人員</t>
    </r>
    <r>
      <rPr>
        <sz val="10"/>
        <rFont val="Times New Roman"/>
        <family val="1"/>
      </rPr>
      <t xml:space="preserve"> 
     Taxes and Finance Personnel</t>
    </r>
  </si>
  <si>
    <r>
      <rPr>
        <sz val="10"/>
        <rFont val="標楷體"/>
        <family val="4"/>
      </rPr>
      <t>　稅務人員</t>
    </r>
    <r>
      <rPr>
        <sz val="10"/>
        <rFont val="Times New Roman"/>
        <family val="1"/>
      </rPr>
      <t xml:space="preserve"> Taxation Personnel</t>
    </r>
  </si>
  <si>
    <r>
      <t xml:space="preserve">    </t>
    </r>
    <r>
      <rPr>
        <sz val="10"/>
        <rFont val="標楷體"/>
        <family val="4"/>
      </rPr>
      <t>關務人員</t>
    </r>
    <r>
      <rPr>
        <sz val="10"/>
        <rFont val="Times New Roman"/>
        <family val="1"/>
      </rPr>
      <t xml:space="preserve"> Customs Personnel</t>
    </r>
  </si>
  <si>
    <r>
      <rPr>
        <sz val="10"/>
        <rFont val="標楷體"/>
        <family val="4"/>
      </rPr>
      <t xml:space="preserve">　經濟部專利商標審查人員
</t>
    </r>
    <r>
      <rPr>
        <sz val="10"/>
        <rFont val="Times New Roman"/>
        <family val="1"/>
      </rPr>
      <t xml:space="preserve">     Patent and Trademark
     Application Reviewers
     Ministry of Economic Affairs</t>
    </r>
  </si>
  <si>
    <r>
      <rPr>
        <sz val="10"/>
        <rFont val="標楷體"/>
        <family val="4"/>
      </rPr>
      <t xml:space="preserve">　國際經濟商務人員
</t>
    </r>
    <r>
      <rPr>
        <sz val="10"/>
        <rFont val="Times New Roman"/>
        <family val="1"/>
      </rPr>
      <t xml:space="preserve">     International Trade Officers</t>
    </r>
  </si>
  <si>
    <r>
      <rPr>
        <sz val="10"/>
        <rFont val="標楷體"/>
        <family val="4"/>
      </rPr>
      <t>　原住民族人員</t>
    </r>
    <r>
      <rPr>
        <sz val="10"/>
        <rFont val="Times New Roman"/>
        <family val="1"/>
      </rPr>
      <t xml:space="preserve"> Indigenous Peoples</t>
    </r>
  </si>
  <si>
    <r>
      <rPr>
        <sz val="10"/>
        <rFont val="標楷體"/>
        <family val="4"/>
      </rPr>
      <t xml:space="preserve">　交通事業郵政人員
</t>
    </r>
    <r>
      <rPr>
        <sz val="10"/>
        <rFont val="Times New Roman"/>
        <family val="1"/>
      </rPr>
      <t xml:space="preserve">     Transportation Enterprise
     Postal Personnel</t>
    </r>
  </si>
  <si>
    <r>
      <rPr>
        <sz val="10"/>
        <rFont val="標楷體"/>
        <family val="4"/>
      </rPr>
      <t>　身心障礙人員</t>
    </r>
    <r>
      <rPr>
        <sz val="10"/>
        <rFont val="Times New Roman"/>
        <family val="1"/>
      </rPr>
      <t xml:space="preserve"> The Disabled</t>
    </r>
  </si>
  <si>
    <r>
      <rPr>
        <sz val="10"/>
        <rFont val="標楷體"/>
        <family val="4"/>
      </rPr>
      <t>　交通事業公路人員</t>
    </r>
    <r>
      <rPr>
        <sz val="10"/>
        <rFont val="Times New Roman"/>
        <family val="1"/>
      </rPr>
      <t xml:space="preserve"> 
     Transportation Enterprise
     Highway Personnel</t>
    </r>
  </si>
  <si>
    <r>
      <rPr>
        <sz val="10"/>
        <rFont val="標楷體"/>
        <family val="4"/>
      </rPr>
      <t xml:space="preserve">　交通事業鐵路人員
</t>
    </r>
    <r>
      <rPr>
        <sz val="10"/>
        <rFont val="Times New Roman"/>
        <family val="1"/>
      </rPr>
      <t xml:space="preserve">     Transportation Enterprise 
     Railways Personnel</t>
    </r>
  </si>
  <si>
    <r>
      <rPr>
        <sz val="10"/>
        <rFont val="標楷體"/>
        <family val="4"/>
      </rPr>
      <t>　海岸巡防人員</t>
    </r>
    <r>
      <rPr>
        <sz val="10"/>
        <rFont val="Times New Roman"/>
        <family val="1"/>
      </rPr>
      <t>Coast Guard Personnel</t>
    </r>
  </si>
  <si>
    <r>
      <rPr>
        <sz val="10"/>
        <rFont val="標楷體"/>
        <family val="4"/>
      </rPr>
      <t xml:space="preserve">　社會福利工作人員
</t>
    </r>
    <r>
      <rPr>
        <sz val="10"/>
        <rFont val="Times New Roman"/>
        <family val="1"/>
      </rPr>
      <t xml:space="preserve">    Social Welfare Workers</t>
    </r>
  </si>
  <si>
    <r>
      <rPr>
        <sz val="10"/>
        <rFont val="標楷體"/>
        <family val="4"/>
      </rPr>
      <t xml:space="preserve">　國防部文職人員
</t>
    </r>
    <r>
      <rPr>
        <sz val="10"/>
        <rFont val="Times New Roman"/>
        <family val="1"/>
      </rPr>
      <t xml:space="preserve">     Ministry of Defense
     Administrative Personnel</t>
    </r>
  </si>
  <si>
    <r>
      <t xml:space="preserve">    </t>
    </r>
    <r>
      <rPr>
        <sz val="10"/>
        <rFont val="標楷體"/>
        <family val="4"/>
      </rPr>
      <t>交通事業港務人員</t>
    </r>
    <r>
      <rPr>
        <sz val="10"/>
        <rFont val="Times New Roman"/>
        <family val="1"/>
      </rPr>
      <t xml:space="preserve"> 
     Transportation Enterprise 
     Harbor Management Personnel</t>
    </r>
  </si>
  <si>
    <r>
      <t>3.</t>
    </r>
    <r>
      <rPr>
        <sz val="10"/>
        <rFont val="標楷體"/>
        <family val="4"/>
      </rPr>
      <t>升任官等訓練</t>
    </r>
    <r>
      <rPr>
        <sz val="10"/>
        <rFont val="Times New Roman"/>
        <family val="1"/>
      </rPr>
      <t xml:space="preserve"> 
   Rank promotion Training</t>
    </r>
  </si>
  <si>
    <r>
      <rPr>
        <sz val="10"/>
        <rFont val="標楷體"/>
        <family val="4"/>
      </rPr>
      <t xml:space="preserve">　薦任公務人員晉升簡任官等
</t>
    </r>
    <r>
      <rPr>
        <sz val="10"/>
        <rFont val="Times New Roman"/>
        <family val="1"/>
      </rPr>
      <t xml:space="preserve">    Junior to Senior Rank Promotion</t>
    </r>
  </si>
  <si>
    <r>
      <rPr>
        <sz val="10"/>
        <rFont val="標楷體"/>
        <family val="4"/>
      </rPr>
      <t>　委任公務人員晉升薦任官等</t>
    </r>
    <r>
      <rPr>
        <sz val="10"/>
        <rFont val="Times New Roman"/>
        <family val="1"/>
      </rPr>
      <t xml:space="preserve"> 
    Elementary to Junior Rank
    Promotion</t>
    </r>
  </si>
  <si>
    <r>
      <rPr>
        <sz val="10"/>
        <rFont val="標楷體"/>
        <family val="4"/>
      </rPr>
      <t xml:space="preserve">　警佐警察人員晉升警正官等
</t>
    </r>
    <r>
      <rPr>
        <sz val="10"/>
        <rFont val="Times New Roman"/>
        <family val="1"/>
      </rPr>
      <t xml:space="preserve">    Police Sergeant to Major
    Rank Promotion</t>
    </r>
  </si>
  <si>
    <r>
      <rPr>
        <sz val="10"/>
        <rFont val="標楷體"/>
        <family val="4"/>
      </rPr>
      <t xml:space="preserve">　交通事業人員員級晉升高員級資位
</t>
    </r>
    <r>
      <rPr>
        <sz val="10"/>
        <rFont val="Times New Roman"/>
        <family val="1"/>
      </rPr>
      <t xml:space="preserve">    Transportation Enterprise Officer to 
    Senior Officer Rank Promotion</t>
    </r>
  </si>
  <si>
    <r>
      <t>4.</t>
    </r>
    <r>
      <rPr>
        <sz val="10"/>
        <rFont val="標楷體"/>
        <family val="4"/>
      </rPr>
      <t xml:space="preserve">人事人員訓練
</t>
    </r>
    <r>
      <rPr>
        <sz val="10"/>
        <rFont val="Times New Roman"/>
        <family val="1"/>
      </rPr>
      <t xml:space="preserve">   Personnel Officials Training</t>
    </r>
  </si>
  <si>
    <r>
      <t xml:space="preserve">  </t>
    </r>
    <r>
      <rPr>
        <sz val="10"/>
        <rFont val="標楷體"/>
        <family val="4"/>
      </rPr>
      <t>人事主管人員</t>
    </r>
    <r>
      <rPr>
        <sz val="9"/>
        <rFont val="Times New Roman"/>
        <family val="1"/>
      </rPr>
      <t xml:space="preserve"> Personnel Executives</t>
    </r>
  </si>
  <si>
    <r>
      <t xml:space="preserve">  </t>
    </r>
    <r>
      <rPr>
        <sz val="10"/>
        <rFont val="標楷體"/>
        <family val="4"/>
      </rPr>
      <t>薦任及委任非主管人事人員</t>
    </r>
    <r>
      <rPr>
        <sz val="10"/>
        <rFont val="Times New Roman"/>
        <family val="1"/>
      </rPr>
      <t xml:space="preserve"> 
  Junior/Elementary Rank
  Non-Personnel Executives</t>
    </r>
  </si>
  <si>
    <r>
      <t xml:space="preserve">  </t>
    </r>
    <r>
      <rPr>
        <sz val="10"/>
        <rFont val="標楷體"/>
        <family val="4"/>
      </rPr>
      <t xml:space="preserve">兼辦人事業務人員
</t>
    </r>
    <r>
      <rPr>
        <sz val="10"/>
        <rFont val="Times New Roman"/>
        <family val="1"/>
      </rPr>
      <t xml:space="preserve">  Part-Time Personnel Officials</t>
    </r>
  </si>
  <si>
    <r>
      <t xml:space="preserve">  </t>
    </r>
    <r>
      <rPr>
        <sz val="10"/>
        <rFont val="標楷體"/>
        <family val="4"/>
      </rPr>
      <t>高階主管人員</t>
    </r>
    <r>
      <rPr>
        <sz val="10"/>
        <rFont val="Times New Roman"/>
        <family val="1"/>
      </rPr>
      <t xml:space="preserve"> High-Level Executives</t>
    </r>
  </si>
  <si>
    <r>
      <t xml:space="preserve">  </t>
    </r>
    <r>
      <rPr>
        <sz val="10"/>
        <rFont val="標楷體"/>
        <family val="4"/>
      </rPr>
      <t>主管人員</t>
    </r>
    <r>
      <rPr>
        <sz val="10"/>
        <rFont val="Times New Roman"/>
        <family val="1"/>
      </rPr>
      <t xml:space="preserve"> Executives</t>
    </r>
  </si>
  <si>
    <r>
      <t xml:space="preserve">  </t>
    </r>
    <r>
      <rPr>
        <sz val="10"/>
        <rFont val="標楷體"/>
        <family val="4"/>
      </rPr>
      <t xml:space="preserve">薦任非主管人員
</t>
    </r>
    <r>
      <rPr>
        <sz val="10"/>
        <rFont val="Times New Roman"/>
        <family val="1"/>
      </rPr>
      <t xml:space="preserve">  Junior Rank Non-Executives</t>
    </r>
  </si>
  <si>
    <t>Age Distribution</t>
  </si>
  <si>
    <t>單位：人次</t>
  </si>
  <si>
    <t>單位：％</t>
  </si>
  <si>
    <r>
      <t>合計</t>
    </r>
    <r>
      <rPr>
        <sz val="10"/>
        <rFont val="細明體"/>
        <family val="3"/>
      </rPr>
      <t xml:space="preserve">
Total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</si>
  <si>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</si>
  <si>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t>Table 32 Training for Qualified Personnel Passing Special Examinations(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</si>
  <si>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</si>
  <si>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r>
      <rPr>
        <sz val="9"/>
        <rFont val="標楷體"/>
        <family val="4"/>
      </rPr>
      <t>中華民國八十九年至九十八年</t>
    </r>
  </si>
  <si>
    <r>
      <rPr>
        <sz val="9"/>
        <rFont val="標楷體"/>
        <family val="4"/>
      </rPr>
      <t>單位：人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</si>
  <si>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</si>
  <si>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</si>
  <si>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</si>
  <si>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</si>
  <si>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</si>
  <si>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</si>
  <si>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t>Age Distribution</t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</si>
  <si>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</si>
  <si>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r>
      <t>6.</t>
    </r>
    <r>
      <rPr>
        <sz val="10"/>
        <rFont val="標楷體"/>
        <family val="4"/>
      </rPr>
      <t>其他相關訓練</t>
    </r>
    <r>
      <rPr>
        <sz val="10"/>
        <rFont val="Times New Roman"/>
        <family val="1"/>
      </rPr>
      <t xml:space="preserve"> Other Related Trainings</t>
    </r>
  </si>
  <si>
    <r>
      <t>6.</t>
    </r>
    <r>
      <rPr>
        <sz val="10"/>
        <rFont val="標楷體"/>
        <family val="4"/>
      </rPr>
      <t>其他相關訓練</t>
    </r>
    <r>
      <rPr>
        <sz val="10"/>
        <rFont val="Times New Roman"/>
        <family val="1"/>
      </rPr>
      <t xml:space="preserve"> Other Related Training</t>
    </r>
  </si>
  <si>
    <r>
      <t>5.</t>
    </r>
    <r>
      <rPr>
        <sz val="10"/>
        <rFont val="標楷體"/>
        <family val="4"/>
      </rPr>
      <t>高階文官發展性培訓</t>
    </r>
    <r>
      <rPr>
        <sz val="10"/>
        <rFont val="Times New Roman"/>
        <family val="1"/>
      </rPr>
      <t xml:space="preserve"> 
 Developmental Training for Senior Civil Service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</si>
  <si>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</si>
  <si>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</si>
  <si>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</si>
  <si>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t>From 2000 To 2009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</si>
  <si>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</si>
  <si>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t xml:space="preserve">          2.The information contained in this table does not include the number of total personnel trained for</t>
  </si>
  <si>
    <t xml:space="preserve">             statistics of civil servants training.</t>
  </si>
  <si>
    <r>
      <t xml:space="preserve">Unit 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</si>
  <si>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</si>
  <si>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t>Age Distribution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</si>
  <si>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</si>
  <si>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</si>
  <si>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</si>
  <si>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</si>
  <si>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</si>
  <si>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</si>
  <si>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</si>
  <si>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</si>
  <si>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</si>
  <si>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</si>
  <si>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</si>
  <si>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>University
/College</t>
    </r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</si>
  <si>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</si>
  <si>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</si>
  <si>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</si>
  <si>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</si>
  <si>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</si>
  <si>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</si>
  <si>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</si>
  <si>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</si>
  <si>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</si>
  <si>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</si>
  <si>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</si>
  <si>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</si>
  <si>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</si>
  <si>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 xml:space="preserve">    Education Level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</si>
  <si>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</si>
  <si>
    <r>
      <rPr>
        <sz val="10"/>
        <rFont val="標楷體"/>
        <family val="4"/>
      </rPr>
      <t>小計</t>
    </r>
    <r>
      <rPr>
        <sz val="10"/>
        <rFont val="Times New Roman"/>
        <family val="1"/>
      </rPr>
      <t xml:space="preserve"> 
Cumulative</t>
    </r>
  </si>
  <si>
    <t>總計</t>
  </si>
  <si>
    <t>99年</t>
  </si>
  <si>
    <t>100年</t>
  </si>
  <si>
    <t>註:本項訓練自99年起開辦。99年訓練人數56人，中途離訓3人，爰完成訓練共53人，其中公務</t>
  </si>
  <si>
    <t>員39人，非公務人員13人。</t>
  </si>
  <si>
    <r>
      <t>視聽學習</t>
    </r>
    <r>
      <rPr>
        <sz val="10"/>
        <rFont val="Times New Roman"/>
        <family val="1"/>
      </rPr>
      <t xml:space="preserve"> 
Audio-Visual Learning</t>
    </r>
  </si>
  <si>
    <r>
      <t>網路學習</t>
    </r>
    <r>
      <rPr>
        <sz val="10"/>
        <rFont val="Times New Roman"/>
        <family val="1"/>
      </rPr>
      <t xml:space="preserve"> 
Network Learning</t>
    </r>
  </si>
  <si>
    <r>
      <t xml:space="preserve">合計
</t>
    </r>
    <r>
      <rPr>
        <sz val="10"/>
        <rFont val="Times New Roman"/>
        <family val="1"/>
      </rPr>
      <t>Cumulative</t>
    </r>
  </si>
  <si>
    <r>
      <t>數位學習</t>
    </r>
    <r>
      <rPr>
        <sz val="10"/>
        <rFont val="Times New Roman"/>
        <family val="1"/>
      </rPr>
      <t xml:space="preserve">          E-Learning</t>
    </r>
  </si>
  <si>
    <r>
      <t xml:space="preserve">專題講演及座談
</t>
    </r>
    <r>
      <rPr>
        <sz val="10"/>
        <rFont val="Times New Roman"/>
        <family val="1"/>
      </rPr>
      <t>Special lectures and Semindrs</t>
    </r>
  </si>
  <si>
    <r>
      <t>訓練</t>
    </r>
    <r>
      <rPr>
        <sz val="10"/>
        <rFont val="Times New Roman"/>
        <family val="1"/>
      </rPr>
      <t>Training</t>
    </r>
  </si>
  <si>
    <r>
      <t xml:space="preserve">隨班
</t>
    </r>
    <r>
      <rPr>
        <sz val="10"/>
        <rFont val="Times New Roman"/>
        <family val="1"/>
      </rPr>
      <t>Aleng with Class Training</t>
    </r>
  </si>
  <si>
    <r>
      <t xml:space="preserve">專班訓練
</t>
    </r>
    <r>
      <rPr>
        <sz val="10"/>
        <rFont val="Times New Roman"/>
        <family val="1"/>
      </rPr>
      <t>Special Class Training</t>
    </r>
  </si>
  <si>
    <r>
      <t xml:space="preserve">總計
</t>
    </r>
    <r>
      <rPr>
        <sz val="10"/>
        <rFont val="Times New Roman"/>
        <family val="1"/>
      </rPr>
      <t>Total</t>
    </r>
  </si>
  <si>
    <r>
      <t xml:space="preserve">項目別
</t>
    </r>
    <r>
      <rPr>
        <sz val="10"/>
        <rFont val="Times New Roman"/>
        <family val="1"/>
      </rPr>
      <t>Items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</si>
  <si>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
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</si>
  <si>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
years old</t>
    </r>
  </si>
  <si>
    <t>Table37  Administrative Neutrality Training</t>
  </si>
  <si>
    <t>表37  公務人員行政中立訓練</t>
  </si>
  <si>
    <r>
      <rPr>
        <sz val="10"/>
        <rFont val="標楷體"/>
        <family val="4"/>
      </rPr>
      <t xml:space="preserve">國家文官學院
</t>
    </r>
    <r>
      <rPr>
        <sz val="10"/>
        <rFont val="Times New Roman"/>
        <family val="1"/>
      </rPr>
      <t>National Academy of Civil Service</t>
    </r>
  </si>
  <si>
    <r>
      <t>18</t>
    </r>
    <r>
      <rPr>
        <sz val="10"/>
        <rFont val="標楷體"/>
        <family val="4"/>
      </rPr>
      <t>個月</t>
    </r>
  </si>
  <si>
    <r>
      <t>18</t>
    </r>
    <r>
      <rPr>
        <sz val="10"/>
        <rFont val="標楷體"/>
        <family val="4"/>
      </rPr>
      <t>個月</t>
    </r>
  </si>
  <si>
    <r>
      <t>13</t>
    </r>
    <r>
      <rPr>
        <sz val="10"/>
        <rFont val="標楷體"/>
        <family val="4"/>
      </rPr>
      <t>個月</t>
    </r>
  </si>
  <si>
    <t>人員42人，非公務人員11人:100年訓練人員56人中途離訓4人，爰完成訓練共52人，其中公務人</t>
  </si>
  <si>
    <t>Note: The variable of "Education Level" was added beginning 2004. Entries in the column of "Education Level"
         and the subtotals of all categories of training are recorded beginning 2004.</t>
  </si>
  <si>
    <r>
      <rPr>
        <sz val="10"/>
        <rFont val="Times New Roman"/>
        <family val="1"/>
      </rPr>
      <t>Note: The variable of "Education Level" was added beginning 2004. Entries in the column of "Education Level"</t>
    </r>
    <r>
      <rPr>
        <sz val="11"/>
        <rFont val="Times New Roman"/>
        <family val="1"/>
      </rPr>
      <t xml:space="preserve">
         and the subtotals of all categories of training are recorded beginning 2004.</t>
    </r>
  </si>
  <si>
    <r>
      <t xml:space="preserve">            2.</t>
    </r>
    <r>
      <rPr>
        <sz val="10"/>
        <rFont val="標楷體"/>
        <family val="4"/>
      </rPr>
      <t>本表資料未包含公務人員行政中立訓練人數，有關行政中立訓練統計詳表</t>
    </r>
    <r>
      <rPr>
        <sz val="10"/>
        <rFont val="Times New Roman"/>
        <family val="1"/>
      </rPr>
      <t>37</t>
    </r>
    <r>
      <rPr>
        <sz val="10"/>
        <rFont val="標楷體"/>
        <family val="4"/>
      </rPr>
      <t>。</t>
    </r>
  </si>
  <si>
    <t xml:space="preserve">             administrative neutrality training, which is noted in table 37.</t>
  </si>
  <si>
    <t>中華民國九十一年至一百年</t>
  </si>
  <si>
    <t xml:space="preserve">
         and the subtotals of all categories of training are recorded beginning 2004.</t>
  </si>
  <si>
    <t>中華民國九十一年</t>
  </si>
  <si>
    <t>Froom 2002</t>
  </si>
  <si>
    <t>Table 27 Number of Each Category of Training (Cont.1)</t>
  </si>
  <si>
    <t>中華民國九十九年至一百年</t>
  </si>
  <si>
    <t>From 2010 To 2011</t>
  </si>
  <si>
    <r>
      <t>Note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As  indicated in Table 31.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</si>
  <si>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</si>
  <si>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</si>
  <si>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</si>
  <si>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</si>
  <si>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34</t>
    </r>
    <r>
      <rPr>
        <sz val="14"/>
        <rFont val="標楷體"/>
        <family val="4"/>
      </rPr>
      <t>　人事人員訓練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</si>
  <si>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34 Personnel Officers Training(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</si>
  <si>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</si>
  <si>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</si>
  <si>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</si>
  <si>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35</t>
    </r>
    <r>
      <rPr>
        <sz val="14"/>
        <rFont val="標楷體"/>
        <family val="4"/>
      </rPr>
      <t>　高階文官發展性培訓</t>
    </r>
    <r>
      <rPr>
        <sz val="14"/>
        <rFont val="Times New Roman"/>
        <family val="1"/>
      </rPr>
      <t xml:space="preserve"> </t>
    </r>
  </si>
  <si>
    <r>
      <t xml:space="preserve">  水利人員及水土保持人員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Hydrology Personnel and  Water 
    &amp; Soil Preservation Personnel</t>
    </r>
  </si>
  <si>
    <r>
      <rPr>
        <sz val="10"/>
        <rFont val="標楷體"/>
        <family val="4"/>
      </rPr>
      <t xml:space="preserve">　警正警察人員晉升警監官等
</t>
    </r>
    <r>
      <rPr>
        <sz val="10"/>
        <rFont val="Times New Roman"/>
        <family val="1"/>
      </rPr>
      <t xml:space="preserve">    Police Major to Superintendent Rank Promotion</t>
    </r>
  </si>
  <si>
    <r>
      <t xml:space="preserve">  水利人員及水土保持人員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Hydrology Personnel and  Water 
    &amp; Soil Preservation Personnel</t>
    </r>
  </si>
  <si>
    <r>
      <rPr>
        <sz val="10"/>
        <rFont val="標楷體"/>
        <family val="4"/>
      </rPr>
      <t xml:space="preserve">　警正警察人員晉升警監官等
</t>
    </r>
    <r>
      <rPr>
        <sz val="10"/>
        <rFont val="Times New Roman"/>
        <family val="1"/>
      </rPr>
      <t xml:space="preserve">    Police Major to Superintendent Rank Promotion</t>
    </r>
  </si>
  <si>
    <r>
      <t xml:space="preserve">5.高階文官發展性培訓 </t>
    </r>
    <r>
      <rPr>
        <sz val="9"/>
        <rFont val="Times New Roman"/>
        <family val="1"/>
      </rPr>
      <t xml:space="preserve">
      Developmental Training for 
      Senior Civil Service</t>
    </r>
  </si>
  <si>
    <r>
      <t>6.</t>
    </r>
    <r>
      <rPr>
        <sz val="9"/>
        <rFont val="標楷體"/>
        <family val="4"/>
      </rPr>
      <t>其他相關訓練</t>
    </r>
    <r>
      <rPr>
        <sz val="9"/>
        <rFont val="Times New Roman"/>
        <family val="1"/>
      </rPr>
      <t xml:space="preserve"> Other Related Training</t>
    </r>
  </si>
  <si>
    <r>
      <t xml:space="preserve">  水利人員及水土保持人員
</t>
    </r>
    <r>
      <rPr>
        <sz val="10"/>
        <rFont val="Times New Roman"/>
        <family val="1"/>
      </rPr>
      <t xml:space="preserve">    Hydrology Personnel and  Water 
    &amp; Soil Preservation Personnel</t>
    </r>
  </si>
  <si>
    <r>
      <t xml:space="preserve">  水利人員及水土保持人員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 xml:space="preserve">     Hydrology Personnel and  Water 
     &amp; Soil Preservation Personnel</t>
    </r>
  </si>
  <si>
    <r>
      <t>6.</t>
    </r>
    <r>
      <rPr>
        <sz val="9"/>
        <rFont val="標楷體"/>
        <family val="4"/>
      </rPr>
      <t>其他相關訓練</t>
    </r>
    <r>
      <rPr>
        <sz val="9"/>
        <rFont val="Times New Roman"/>
        <family val="1"/>
      </rPr>
      <t xml:space="preserve"> Other Related Training</t>
    </r>
  </si>
  <si>
    <r>
      <t xml:space="preserve">5.高階文官發展性培訓 </t>
    </r>
    <r>
      <rPr>
        <sz val="9"/>
        <rFont val="Times New Roman"/>
        <family val="1"/>
      </rPr>
      <t xml:space="preserve">
      Developmental Training for 
      Senior Civil Service</t>
    </r>
  </si>
  <si>
    <r>
      <rPr>
        <sz val="9"/>
        <rFont val="標楷體"/>
        <family val="4"/>
      </rPr>
      <t xml:space="preserve">　警正警察人員晉升警監官等
</t>
    </r>
    <r>
      <rPr>
        <sz val="9"/>
        <rFont val="Times New Roman"/>
        <family val="1"/>
      </rPr>
      <t xml:space="preserve">    Police Major to Superintendent Rank Promotion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</si>
  <si>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</si>
  <si>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</si>
  <si>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</si>
  <si>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</si>
  <si>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</si>
  <si>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</si>
  <si>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</si>
  <si>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</si>
  <si>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</si>
  <si>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</si>
  <si>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</si>
  <si>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</si>
  <si>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 years old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</si>
  <si>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</si>
  <si>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</si>
  <si>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</si>
  <si>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</si>
  <si>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</si>
  <si>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</si>
  <si>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</si>
  <si>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</si>
  <si>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</si>
  <si>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</si>
  <si>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</si>
  <si>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</si>
  <si>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</si>
  <si>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
years old</t>
    </r>
  </si>
  <si>
    <t xml:space="preserve">Note :1.The table is calculated based on the number of individuals particpating in training. An individual participating in more than 1 training event is not </t>
  </si>
  <si>
    <t xml:space="preserve">            limited in this matter.</t>
  </si>
  <si>
    <t xml:space="preserve">         2.Applicable individuals include: (1) from 2003 to 2009, a) all full-time personnel employed legally in governmental institutions and public education</t>
  </si>
  <si>
    <r>
      <t xml:space="preserve">            3.</t>
    </r>
    <r>
      <rPr>
        <sz val="8"/>
        <rFont val="標楷體"/>
        <family val="4"/>
      </rPr>
      <t>準用對象：</t>
    </r>
    <r>
      <rPr>
        <sz val="8"/>
        <rFont val="Times New Roman"/>
        <family val="1"/>
      </rPr>
      <t>(1)92</t>
    </r>
    <r>
      <rPr>
        <sz val="8"/>
        <rFont val="標楷體"/>
        <family val="4"/>
      </rPr>
      <t>至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年包括</t>
    </r>
    <r>
      <rPr>
        <sz val="8"/>
        <rFont val="Times New Roman"/>
        <family val="1"/>
      </rPr>
      <t>a)</t>
    </r>
    <r>
      <rPr>
        <sz val="8"/>
        <rFont val="標楷體"/>
        <family val="4"/>
      </rPr>
      <t>公立學校校長及兼任行政職務之教師，</t>
    </r>
    <r>
      <rPr>
        <sz val="8"/>
        <rFont val="Times New Roman"/>
        <family val="1"/>
      </rPr>
      <t>b)</t>
    </r>
    <r>
      <rPr>
        <sz val="8"/>
        <rFont val="標楷體"/>
        <family val="4"/>
      </rPr>
      <t>公營事業機構對經營負有主要決策責任人員，</t>
    </r>
    <r>
      <rPr>
        <sz val="8"/>
        <rFont val="Times New Roman"/>
        <family val="1"/>
      </rPr>
      <t>c)</t>
    </r>
  </si>
  <si>
    <t xml:space="preserve">            except teachers. c) The personnel newly qualified through civil service exams. (2) since 2010, The personnel as stated as "Public Servants" referred by</t>
  </si>
  <si>
    <t xml:space="preserve">            Article 2 of Civil Service Administrative Neutrality Act.</t>
  </si>
  <si>
    <r>
      <rPr>
        <sz val="9"/>
        <rFont val="標楷體"/>
        <family val="4"/>
      </rPr>
      <t>單位：％</t>
    </r>
  </si>
  <si>
    <r>
      <rPr>
        <sz val="10"/>
        <rFont val="標楷體"/>
        <family val="4"/>
      </rPr>
      <t>進用初任公務人員訓練</t>
    </r>
    <r>
      <rPr>
        <sz val="10"/>
        <rFont val="Times New Roman"/>
        <family val="1"/>
      </rPr>
      <t xml:space="preserve">  
Training for Newly Appointed Civil Servants Servants</t>
    </r>
  </si>
  <si>
    <r>
      <t xml:space="preserve">  </t>
    </r>
    <r>
      <rPr>
        <sz val="10"/>
        <rFont val="標楷體"/>
        <family val="4"/>
      </rPr>
      <t xml:space="preserve">臺灣省及福建省基層公務人員
</t>
    </r>
    <r>
      <rPr>
        <sz val="10"/>
        <rFont val="Times New Roman"/>
        <family val="1"/>
      </rPr>
      <t xml:space="preserve">  Taiwan Province and
  Fuchien Province Entry-Level 
  Civil Servants</t>
    </r>
  </si>
  <si>
    <r>
      <rPr>
        <sz val="10"/>
        <rFont val="標楷體"/>
        <family val="4"/>
      </rP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本表資料以考試年為準；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內數字係所包含之基礎訓練訓期。</t>
    </r>
  </si>
  <si>
    <t>Note:1.The statistics is based on the year of examination. Numbers in braskets mean the period of basic training.</t>
  </si>
  <si>
    <r>
      <rPr>
        <sz val="10"/>
        <rFont val="標楷體"/>
        <family val="4"/>
      </rPr>
      <t>　　　</t>
    </r>
    <r>
      <rPr>
        <sz val="10"/>
        <rFont val="Times New Roman"/>
        <family val="1"/>
      </rPr>
      <t>2.93</t>
    </r>
    <r>
      <rPr>
        <sz val="10"/>
        <rFont val="標楷體"/>
        <family val="4"/>
      </rPr>
      <t>年地方政府公務人員特考基礎訓練訓期，三、四等為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週，五等為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週；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年至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年三等為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週，四等為</t>
    </r>
  </si>
  <si>
    <t xml:space="preserve">           2.The period of basic training for Local Government Civil Servants Examination is 4 weeks for Grade C and D Civil </t>
  </si>
  <si>
    <t xml:space="preserve">              Servants in 2004, while between 2005 and 2009 the period is 4 weeks for Grade C, 3 weeks  for Grade D, and 2 weeks</t>
  </si>
  <si>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 4.97</t>
    </r>
    <r>
      <rPr>
        <sz val="10"/>
        <rFont val="標楷體"/>
        <family val="4"/>
      </rPr>
      <t>年起原住民族特考、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年退除役特考、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年水利特考由本會自辦基礎訓練，訓期三等為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週，四等為</t>
    </r>
    <r>
      <rPr>
        <sz val="10"/>
        <rFont val="Times New Roman"/>
        <family val="1"/>
      </rPr>
      <t>3</t>
    </r>
  </si>
  <si>
    <t xml:space="preserve">           3.The period of training for National Security Agents and Intelligence Agents of the National Security Bureau is 1 year for</t>
  </si>
  <si>
    <t xml:space="preserve">               Grade C in 2009, when Grade E was introduced with a 6-month training period.</t>
  </si>
  <si>
    <r>
      <t xml:space="preserve">             5.93</t>
    </r>
    <r>
      <rPr>
        <sz val="10"/>
        <rFont val="標楷體"/>
        <family val="4"/>
      </rPr>
      <t>年原住民族特考中之監所管理員類科訓練訓期為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個月。</t>
    </r>
    <r>
      <rPr>
        <sz val="10"/>
        <rFont val="Times New Roman"/>
        <family val="1"/>
      </rPr>
      <t xml:space="preserve"> </t>
    </r>
  </si>
  <si>
    <t xml:space="preserve">           4. The basic training for the Special Civil Service Examination for 2008 Indigenous Peoples, 2009 Military Veterans </t>
  </si>
  <si>
    <t xml:space="preserve">               Transferring the Civil Service and 2009 Hydrology Personnel and Water &amp; Soil Preservation was implemented by </t>
  </si>
  <si>
    <t xml:space="preserve">           5.In 2004, the training period for Prison Manager in the Special Examination for Indigenous peoples were 6 months.</t>
  </si>
  <si>
    <r>
      <t xml:space="preserve"> 民航人員 
 </t>
    </r>
    <r>
      <rPr>
        <sz val="10"/>
        <rFont val="Times New Roman"/>
        <family val="1"/>
      </rPr>
      <t>Civl Aviation Personnel</t>
    </r>
  </si>
  <si>
    <t>中華民國九十一年至一百年</t>
  </si>
  <si>
    <t>From 2002 To 2011</t>
  </si>
  <si>
    <t>From 2002 To 2011</t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</si>
  <si>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</si>
  <si>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</si>
  <si>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</si>
  <si>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rPr>
        <sz val="10"/>
        <rFont val="標楷體"/>
        <family val="4"/>
      </rPr>
      <t>訓
練　　　　　　　　　</t>
    </r>
  </si>
  <si>
    <r>
      <rPr>
        <sz val="10"/>
        <rFont val="標楷體"/>
        <family val="4"/>
      </rPr>
      <t xml:space="preserve">升任官等訓練
</t>
    </r>
    <r>
      <rPr>
        <sz val="10"/>
        <rFont val="Times New Roman"/>
        <family val="1"/>
      </rPr>
      <t>Rank Promotion Training</t>
    </r>
  </si>
  <si>
    <r>
      <rPr>
        <sz val="10"/>
        <rFont val="標楷體"/>
        <family val="4"/>
      </rPr>
      <t xml:space="preserve">專業訓練
</t>
    </r>
    <r>
      <rPr>
        <sz val="10"/>
        <rFont val="Times New Roman"/>
        <family val="1"/>
      </rPr>
      <t>Professional Training</t>
    </r>
  </si>
  <si>
    <r>
      <rPr>
        <sz val="10"/>
        <rFont val="標楷體"/>
        <family val="4"/>
      </rPr>
      <t xml:space="preserve">一般管理訓練
</t>
    </r>
    <r>
      <rPr>
        <sz val="10"/>
        <rFont val="Times New Roman"/>
        <family val="1"/>
      </rPr>
      <t>General Managerial Training</t>
    </r>
  </si>
  <si>
    <r>
      <rPr>
        <sz val="10"/>
        <rFont val="標楷體"/>
        <family val="4"/>
      </rPr>
      <t xml:space="preserve">合　　　計
</t>
    </r>
    <r>
      <rPr>
        <sz val="10"/>
        <rFont val="Times New Roman"/>
        <family val="1"/>
      </rPr>
      <t>Total</t>
    </r>
    <r>
      <rPr>
        <sz val="10"/>
        <rFont val="標楷體"/>
        <family val="4"/>
      </rPr>
      <t>　　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</si>
  <si>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24</t>
    </r>
    <r>
      <rPr>
        <sz val="14"/>
        <rFont val="標楷體"/>
        <family val="4"/>
      </rPr>
      <t>　各項訓練訓期</t>
    </r>
  </si>
  <si>
    <r>
      <t>1.</t>
    </r>
    <r>
      <rPr>
        <sz val="10"/>
        <rFont val="標楷體"/>
        <family val="4"/>
      </rPr>
      <t xml:space="preserve">高等普通初等考試錄取人員訓練
</t>
    </r>
    <r>
      <rPr>
        <sz val="10"/>
        <rFont val="Times New Roman"/>
        <family val="1"/>
      </rPr>
      <t xml:space="preserve">  Training for Elementray, 
  Junior and Senior Civil
  Service Examination Qualifiers      </t>
    </r>
  </si>
  <si>
    <r>
      <rPr>
        <sz val="10"/>
        <rFont val="標楷體"/>
        <family val="4"/>
      </rPr>
      <t>　初等</t>
    </r>
    <r>
      <rPr>
        <sz val="10"/>
        <rFont val="Times New Roman"/>
        <family val="1"/>
      </rPr>
      <t xml:space="preserve"> Elementary Examinations</t>
    </r>
  </si>
  <si>
    <r>
      <t>2.</t>
    </r>
    <r>
      <rPr>
        <sz val="10"/>
        <rFont val="標楷體"/>
        <family val="4"/>
      </rPr>
      <t xml:space="preserve">特種考試錄取人員訓練
</t>
    </r>
    <r>
      <rPr>
        <sz val="10"/>
        <rFont val="Times New Roman"/>
        <family val="1"/>
      </rPr>
      <t xml:space="preserve">  Training for Special Civil 
  Service Examination Qualifiers       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</si>
  <si>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
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</si>
  <si>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
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</si>
  <si>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
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</si>
  <si>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
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</si>
  <si>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
 years old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</si>
  <si>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
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</si>
  <si>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
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</si>
  <si>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
 years old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</si>
  <si>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24</t>
    </r>
    <r>
      <rPr>
        <sz val="14"/>
        <rFont val="標楷體"/>
        <family val="4"/>
      </rPr>
      <t>　各項訓練訓期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2) </t>
    </r>
  </si>
  <si>
    <r>
      <rPr>
        <sz val="10"/>
        <rFont val="標楷體"/>
        <family val="4"/>
      </rPr>
      <t>　原住民族人員</t>
    </r>
    <r>
      <rPr>
        <sz val="10"/>
        <rFont val="Times New Roman"/>
        <family val="1"/>
      </rPr>
      <t xml:space="preserve"> Indigenous Peoples</t>
    </r>
  </si>
  <si>
    <r>
      <rPr>
        <sz val="10"/>
        <rFont val="標楷體"/>
        <family val="4"/>
      </rPr>
      <t>　身心障礙人員</t>
    </r>
    <r>
      <rPr>
        <sz val="10"/>
        <rFont val="Times New Roman"/>
        <family val="1"/>
      </rPr>
      <t xml:space="preserve"> The Disabled</t>
    </r>
  </si>
  <si>
    <r>
      <rPr>
        <sz val="10"/>
        <rFont val="標楷體"/>
        <family val="4"/>
      </rPr>
      <t>　海岸巡防人員</t>
    </r>
    <r>
      <rPr>
        <sz val="10"/>
        <rFont val="Times New Roman"/>
        <family val="1"/>
      </rPr>
      <t>Coast Guard Personnel</t>
    </r>
  </si>
  <si>
    <r>
      <rPr>
        <sz val="10"/>
        <rFont val="標楷體"/>
        <family val="4"/>
      </rPr>
      <t xml:space="preserve">　社會福利工作人員
</t>
    </r>
    <r>
      <rPr>
        <sz val="10"/>
        <rFont val="Times New Roman"/>
        <family val="1"/>
      </rPr>
      <t xml:space="preserve">  Social Welfare Workers</t>
    </r>
  </si>
  <si>
    <r>
      <t xml:space="preserve">  </t>
    </r>
    <r>
      <rPr>
        <sz val="10"/>
        <rFont val="標楷體"/>
        <family val="4"/>
      </rPr>
      <t>交通事業港務人員</t>
    </r>
    <r>
      <rPr>
        <sz val="10"/>
        <rFont val="Times New Roman"/>
        <family val="1"/>
      </rPr>
      <t xml:space="preserve"> 
  Transportation
  Enterprise Harbor
  Management Personnel</t>
    </r>
  </si>
  <si>
    <r>
      <t>5.</t>
    </r>
    <r>
      <rPr>
        <sz val="10"/>
        <rFont val="標楷體"/>
        <family val="4"/>
      </rPr>
      <t xml:space="preserve">人事人員訓練
</t>
    </r>
    <r>
      <rPr>
        <sz val="10"/>
        <rFont val="Times New Roman"/>
        <family val="1"/>
      </rPr>
      <t xml:space="preserve">  Personnel Officials Training</t>
    </r>
  </si>
  <si>
    <r>
      <rPr>
        <sz val="10"/>
        <rFont val="標楷體"/>
        <family val="4"/>
      </rPr>
      <t>　主管人員</t>
    </r>
    <r>
      <rPr>
        <sz val="10"/>
        <rFont val="Times New Roman"/>
        <family val="1"/>
      </rPr>
      <t xml:space="preserve"> Executives</t>
    </r>
  </si>
  <si>
    <r>
      <rPr>
        <sz val="10"/>
        <rFont val="標楷體"/>
        <family val="4"/>
      </rPr>
      <t>　高等</t>
    </r>
    <r>
      <rPr>
        <sz val="10"/>
        <rFont val="Times New Roman"/>
        <family val="1"/>
      </rPr>
      <t xml:space="preserve">  Senior Examinations         </t>
    </r>
  </si>
  <si>
    <r>
      <rPr>
        <sz val="10"/>
        <rFont val="標楷體"/>
        <family val="4"/>
      </rPr>
      <t>　普通</t>
    </r>
    <r>
      <rPr>
        <sz val="10"/>
        <rFont val="Times New Roman"/>
        <family val="1"/>
      </rPr>
      <t xml:space="preserve">  Junior Examinations          </t>
    </r>
  </si>
  <si>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三、四等</t>
    </r>
    <r>
      <rPr>
        <sz val="10"/>
        <rFont val="Times New Roman"/>
        <family val="1"/>
      </rPr>
      <t xml:space="preserve">   
      Grade C, D</t>
    </r>
  </si>
  <si>
    <r>
      <t xml:space="preserve">  </t>
    </r>
    <r>
      <rPr>
        <sz val="10"/>
        <rFont val="標楷體"/>
        <family val="4"/>
      </rPr>
      <t>稅務人員</t>
    </r>
    <r>
      <rPr>
        <sz val="10"/>
        <rFont val="Times New Roman"/>
        <family val="1"/>
      </rPr>
      <t xml:space="preserve">    Taxation Personnel</t>
    </r>
  </si>
  <si>
    <r>
      <t xml:space="preserve">  </t>
    </r>
    <r>
      <rPr>
        <sz val="10"/>
        <rFont val="標楷體"/>
        <family val="4"/>
      </rPr>
      <t>海岸巡防人員</t>
    </r>
    <r>
      <rPr>
        <sz val="10"/>
        <rFont val="Times New Roman"/>
        <family val="1"/>
      </rPr>
      <t>Coast Guard Personnel</t>
    </r>
  </si>
  <si>
    <r>
      <t>3.</t>
    </r>
    <r>
      <rPr>
        <sz val="10"/>
        <rFont val="標楷體"/>
        <family val="4"/>
      </rPr>
      <t>升任官等訓練</t>
    </r>
    <r>
      <rPr>
        <sz val="10"/>
        <rFont val="Times New Roman"/>
        <family val="1"/>
      </rPr>
      <t xml:space="preserve"> 
  Rank promotion Training</t>
    </r>
  </si>
  <si>
    <r>
      <t xml:space="preserve">  </t>
    </r>
    <r>
      <rPr>
        <sz val="10"/>
        <rFont val="標楷體"/>
        <family val="4"/>
      </rPr>
      <t>人事主管人員</t>
    </r>
    <r>
      <rPr>
        <sz val="9"/>
        <rFont val="Times New Roman"/>
        <family val="1"/>
      </rPr>
      <t xml:space="preserve"> Personnel Executives</t>
    </r>
  </si>
  <si>
    <r>
      <t>7.</t>
    </r>
    <r>
      <rPr>
        <sz val="10"/>
        <rFont val="標楷體"/>
        <family val="4"/>
      </rPr>
      <t xml:space="preserve">其他相關訓練
</t>
    </r>
    <r>
      <rPr>
        <sz val="10"/>
        <rFont val="Times New Roman"/>
        <family val="1"/>
      </rPr>
      <t xml:space="preserve">  Other Related Trainings</t>
    </r>
  </si>
  <si>
    <r>
      <t>6.</t>
    </r>
    <r>
      <rPr>
        <sz val="10"/>
        <rFont val="標楷體"/>
        <family val="4"/>
      </rPr>
      <t>高階文官發展性培訓</t>
    </r>
    <r>
      <rPr>
        <sz val="10"/>
        <rFont val="Times New Roman"/>
        <family val="1"/>
      </rPr>
      <t xml:space="preserve"> 
      Developmental Training for 
      Senior Civil Service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</si>
  <si>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25</t>
    </r>
    <r>
      <rPr>
        <sz val="14"/>
        <rFont val="標楷體"/>
        <family val="4"/>
      </rPr>
      <t>　各項訓練人數</t>
    </r>
  </si>
  <si>
    <r>
      <rPr>
        <sz val="10"/>
        <rFont val="標楷體"/>
        <family val="4"/>
      </rPr>
      <t xml:space="preserve">訓　　練　　名　　稱
</t>
    </r>
    <r>
      <rPr>
        <sz val="10"/>
        <rFont val="Times New Roman"/>
        <family val="1"/>
      </rPr>
      <t>Categories of Training</t>
    </r>
  </si>
  <si>
    <r>
      <rPr>
        <sz val="10"/>
        <rFont val="標楷體"/>
        <family val="4"/>
      </rPr>
      <t xml:space="preserve">合　　計
</t>
    </r>
    <r>
      <rPr>
        <sz val="10"/>
        <rFont val="Times New Roman"/>
        <family val="1"/>
      </rPr>
      <t xml:space="preserve">Total
</t>
    </r>
  </si>
  <si>
    <r>
      <rPr>
        <sz val="10"/>
        <rFont val="標楷體"/>
        <family val="4"/>
      </rPr>
      <t>總　　　　　　　　　　計</t>
    </r>
    <r>
      <rPr>
        <sz val="10"/>
        <rFont val="Times New Roman"/>
        <family val="1"/>
      </rPr>
      <t xml:space="preserve"> Cumulative</t>
    </r>
  </si>
  <si>
    <r>
      <t>1.</t>
    </r>
    <r>
      <rPr>
        <sz val="10"/>
        <rFont val="標楷體"/>
        <family val="4"/>
      </rPr>
      <t xml:space="preserve">高等普通初等考試錄取人員訓練
</t>
    </r>
    <r>
      <rPr>
        <sz val="10"/>
        <rFont val="Times New Roman"/>
        <family val="1"/>
      </rPr>
      <t xml:space="preserve">  Training for Elementray, 
  Junior and Senior Civil
  Service Examination Qualifiers      </t>
    </r>
  </si>
  <si>
    <r>
      <rPr>
        <sz val="10"/>
        <rFont val="標楷體"/>
        <family val="4"/>
      </rPr>
      <t>　高等</t>
    </r>
    <r>
      <rPr>
        <sz val="10"/>
        <rFont val="Times New Roman"/>
        <family val="1"/>
      </rPr>
      <t xml:space="preserve"> Senior Examinations</t>
    </r>
  </si>
  <si>
    <r>
      <rPr>
        <sz val="10"/>
        <rFont val="標楷體"/>
        <family val="4"/>
      </rPr>
      <t>　普通</t>
    </r>
    <r>
      <rPr>
        <sz val="10"/>
        <rFont val="Times New Roman"/>
        <family val="1"/>
      </rPr>
      <t xml:space="preserve"> Junior Examinations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</si>
  <si>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25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1)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</si>
  <si>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26</t>
    </r>
    <r>
      <rPr>
        <sz val="14"/>
        <rFont val="標楷體"/>
        <family val="4"/>
      </rPr>
      <t>　各項訓練人數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</si>
  <si>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26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1)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</si>
  <si>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27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</t>
    </r>
  </si>
  <si>
    <r>
      <rPr>
        <sz val="11"/>
        <rFont val="標楷體"/>
        <family val="4"/>
      </rPr>
      <t>－按各訓練占各類別小計百分比分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</si>
  <si>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27</t>
    </r>
    <r>
      <rPr>
        <sz val="14"/>
        <rFont val="標楷體"/>
        <family val="4"/>
      </rPr>
      <t>　各項訓練人數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1)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</si>
  <si>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28</t>
    </r>
    <r>
      <rPr>
        <sz val="14"/>
        <rFont val="標楷體"/>
        <family val="4"/>
      </rPr>
      <t>　各項訓練女性學員比率</t>
    </r>
  </si>
  <si>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比率</t>
    </r>
    <r>
      <rPr>
        <sz val="9"/>
        <rFont val="Times New Roman"/>
        <family val="1"/>
      </rPr>
      <t>)  Cumulative(%)</t>
    </r>
  </si>
  <si>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人數</t>
    </r>
    <r>
      <rPr>
        <sz val="9"/>
        <rFont val="Times New Roman"/>
        <family val="1"/>
      </rPr>
      <t>)  Cumulative( Individuals)</t>
    </r>
  </si>
  <si>
    <r>
      <rPr>
        <sz val="9"/>
        <rFont val="標楷體"/>
        <family val="4"/>
      </rPr>
      <t>　高等</t>
    </r>
    <r>
      <rPr>
        <sz val="9"/>
        <rFont val="Times New Roman"/>
        <family val="1"/>
      </rPr>
      <t xml:space="preserve"> Senior Examinations</t>
    </r>
  </si>
  <si>
    <r>
      <rPr>
        <sz val="9"/>
        <rFont val="標楷體"/>
        <family val="4"/>
      </rPr>
      <t>　普通</t>
    </r>
    <r>
      <rPr>
        <sz val="9"/>
        <rFont val="Times New Roman"/>
        <family val="1"/>
      </rPr>
      <t xml:space="preserve"> Junior Examinations</t>
    </r>
  </si>
  <si>
    <r>
      <rPr>
        <sz val="9"/>
        <rFont val="標楷體"/>
        <family val="4"/>
      </rPr>
      <t>　丁等</t>
    </r>
    <r>
      <rPr>
        <sz val="9"/>
        <rFont val="Times New Roman"/>
        <family val="1"/>
      </rPr>
      <t xml:space="preserve"> Grade D</t>
    </r>
  </si>
  <si>
    <r>
      <rPr>
        <sz val="9"/>
        <rFont val="標楷體"/>
        <family val="4"/>
      </rPr>
      <t>　司法人員</t>
    </r>
    <r>
      <rPr>
        <sz val="9"/>
        <rFont val="Times New Roman"/>
        <family val="1"/>
      </rPr>
      <t xml:space="preserve">  Judicial Personnel</t>
    </r>
  </si>
  <si>
    <r>
      <rPr>
        <sz val="9"/>
        <rFont val="標楷體"/>
        <family val="4"/>
      </rPr>
      <t>　軍法人員</t>
    </r>
    <r>
      <rPr>
        <sz val="9"/>
        <rFont val="Times New Roman"/>
        <family val="1"/>
      </rPr>
      <t xml:space="preserve"> Judges Advocate</t>
    </r>
  </si>
  <si>
    <r>
      <rPr>
        <sz val="9"/>
        <rFont val="標楷體"/>
        <family val="4"/>
      </rPr>
      <t>　警察人員</t>
    </r>
    <r>
      <rPr>
        <sz val="9"/>
        <rFont val="Times New Roman"/>
        <family val="1"/>
      </rPr>
      <t xml:space="preserve">  Police Officer</t>
    </r>
  </si>
  <si>
    <r>
      <rPr>
        <sz val="9"/>
        <rFont val="標楷體"/>
        <family val="4"/>
      </rPr>
      <t>　原住民族人員</t>
    </r>
    <r>
      <rPr>
        <sz val="9"/>
        <rFont val="Times New Roman"/>
        <family val="1"/>
      </rPr>
      <t xml:space="preserve"> Indigenous Peoples</t>
    </r>
  </si>
  <si>
    <r>
      <rPr>
        <sz val="9"/>
        <rFont val="標楷體"/>
        <family val="4"/>
      </rPr>
      <t>　身心障礙人員</t>
    </r>
    <r>
      <rPr>
        <sz val="9"/>
        <rFont val="Times New Roman"/>
        <family val="1"/>
      </rPr>
      <t xml:space="preserve"> The Disabled</t>
    </r>
  </si>
  <si>
    <r>
      <rPr>
        <sz val="9"/>
        <rFont val="標楷體"/>
        <family val="4"/>
      </rPr>
      <t>　海岸巡防人員</t>
    </r>
    <r>
      <rPr>
        <sz val="9"/>
        <rFont val="Times New Roman"/>
        <family val="1"/>
      </rPr>
      <t xml:space="preserve"> Coast Guard Personnel</t>
    </r>
  </si>
  <si>
    <r>
      <rPr>
        <sz val="9"/>
        <rFont val="標楷體"/>
        <family val="4"/>
      </rPr>
      <t>　社會福利工作人員</t>
    </r>
    <r>
      <rPr>
        <sz val="9"/>
        <rFont val="Times New Roman"/>
        <family val="1"/>
      </rPr>
      <t xml:space="preserve"> Social Welfare Workers</t>
    </r>
  </si>
  <si>
    <r>
      <t>4.</t>
    </r>
    <r>
      <rPr>
        <sz val="9"/>
        <rFont val="標楷體"/>
        <family val="4"/>
      </rPr>
      <t>人事人員訓練</t>
    </r>
    <r>
      <rPr>
        <sz val="9"/>
        <rFont val="Times New Roman"/>
        <family val="1"/>
      </rPr>
      <t xml:space="preserve"> Personnel Officials Training</t>
    </r>
  </si>
  <si>
    <r>
      <rPr>
        <sz val="10"/>
        <rFont val="標楷體"/>
        <family val="4"/>
      </rPr>
      <t>說明：同表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。</t>
    </r>
  </si>
  <si>
    <r>
      <rPr>
        <sz val="9"/>
        <rFont val="標楷體"/>
        <family val="4"/>
      </rPr>
      <t>單位：歲</t>
    </r>
  </si>
  <si>
    <r>
      <rPr>
        <sz val="9"/>
        <rFont val="標楷體"/>
        <family val="4"/>
      </rPr>
      <t>總　　　　　　　　　　計</t>
    </r>
    <r>
      <rPr>
        <sz val="9"/>
        <rFont val="Times New Roman"/>
        <family val="1"/>
      </rPr>
      <t xml:space="preserve">   Cumulative</t>
    </r>
  </si>
  <si>
    <r>
      <t>1.</t>
    </r>
    <r>
      <rPr>
        <sz val="9"/>
        <rFont val="標楷體"/>
        <family val="4"/>
      </rPr>
      <t xml:space="preserve">高等普通初等考試錄取人員訓練
</t>
    </r>
    <r>
      <rPr>
        <sz val="9"/>
        <rFont val="Times New Roman"/>
        <family val="1"/>
      </rPr>
      <t xml:space="preserve">  Training for Elementray, Junior and Senior Civil
  Service Examination Qualifiers      </t>
    </r>
  </si>
  <si>
    <r>
      <t>2.</t>
    </r>
    <r>
      <rPr>
        <sz val="9"/>
        <rFont val="標楷體"/>
        <family val="4"/>
      </rPr>
      <t xml:space="preserve">特種考試錄取人員訓練
</t>
    </r>
    <r>
      <rPr>
        <sz val="9"/>
        <rFont val="Times New Roman"/>
        <family val="1"/>
      </rPr>
      <t xml:space="preserve">  Training for Special Civil Service Examination
  Qualifiers       </t>
    </r>
  </si>
  <si>
    <r>
      <t>3.</t>
    </r>
    <r>
      <rPr>
        <sz val="9"/>
        <rFont val="標楷體"/>
        <family val="4"/>
      </rPr>
      <t>升任官等訓練</t>
    </r>
    <r>
      <rPr>
        <sz val="9"/>
        <rFont val="Times New Roman"/>
        <family val="1"/>
      </rPr>
      <t xml:space="preserve"> Rank promotion Training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</si>
  <si>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30</t>
    </r>
    <r>
      <rPr>
        <sz val="14"/>
        <rFont val="標楷體"/>
        <family val="4"/>
      </rPr>
      <t>　各項訓練</t>
    </r>
  </si>
  <si>
    <r>
      <rPr>
        <sz val="14"/>
        <rFont val="標楷體"/>
        <family val="4"/>
      </rPr>
      <t>學員年齡分布</t>
    </r>
  </si>
  <si>
    <r>
      <rPr>
        <sz val="9"/>
        <rFont val="標楷體"/>
        <family val="4"/>
      </rPr>
      <t>總　　　　　　　　　　計</t>
    </r>
    <r>
      <rPr>
        <sz val="9"/>
        <rFont val="Times New Roman"/>
        <family val="1"/>
      </rPr>
      <t xml:space="preserve">  Cumulative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</si>
  <si>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31</t>
    </r>
    <r>
      <rPr>
        <sz val="14"/>
        <rFont val="標楷體"/>
        <family val="4"/>
      </rPr>
      <t>　高等普通初等考試錄取人員訓練</t>
    </r>
  </si>
  <si>
    <r>
      <rPr>
        <sz val="10"/>
        <rFont val="標楷體"/>
        <family val="4"/>
      </rPr>
      <t xml:space="preserve">訓練人數
</t>
    </r>
    <r>
      <rPr>
        <sz val="10"/>
        <rFont val="Times New Roman"/>
        <family val="1"/>
      </rPr>
      <t>Individuals
 Trained 
Population</t>
    </r>
  </si>
  <si>
    <r>
      <rPr>
        <sz val="10"/>
        <rFont val="標楷體"/>
        <family val="4"/>
      </rPr>
      <t xml:space="preserve">及格人數
</t>
    </r>
    <r>
      <rPr>
        <sz val="10"/>
        <rFont val="Times New Roman"/>
        <family val="1"/>
      </rPr>
      <t>Qualified
Population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</si>
  <si>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
 Population</t>
    </r>
  </si>
  <si>
    <r>
      <rPr>
        <sz val="10"/>
        <rFont val="標楷體"/>
        <family val="4"/>
      </rPr>
      <t xml:space="preserve">平均年齡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
 Average
 Age</t>
    </r>
  </si>
  <si>
    <r>
      <rPr>
        <sz val="10"/>
        <rFont val="標楷體"/>
        <family val="4"/>
      </rPr>
      <t>年　　　　　　齡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分　　　　　　布</t>
    </r>
    <r>
      <rPr>
        <sz val="10"/>
        <rFont val="Times New Roman"/>
        <family val="1"/>
      </rPr>
      <t xml:space="preserve">    Age Distribution
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</si>
  <si>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 xml:space="preserve">Master's 
degree
or above
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</si>
  <si>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 xml:space="preserve">University
/College
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</si>
  <si>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 xml:space="preserve">High school
/Secondary
</t>
    </r>
  </si>
  <si>
    <r>
      <rPr>
        <sz val="10"/>
        <rFont val="標楷體"/>
        <family val="4"/>
      </rPr>
      <t xml:space="preserve">國中以下
</t>
    </r>
    <r>
      <rPr>
        <sz val="10"/>
        <rFont val="Times New Roman"/>
        <family val="1"/>
      </rPr>
      <t xml:space="preserve">Junior 
High School
 or lower.
</t>
    </r>
  </si>
  <si>
    <r>
      <rPr>
        <sz val="10"/>
        <rFont val="標楷體"/>
        <family val="4"/>
      </rPr>
      <t xml:space="preserve">合計
</t>
    </r>
    <r>
      <rPr>
        <sz val="9"/>
        <rFont val="Times New Roman"/>
        <family val="1"/>
      </rPr>
      <t xml:space="preserve">
Cumulative</t>
    </r>
    <r>
      <rPr>
        <sz val="10"/>
        <rFont val="Times New Roman"/>
        <family val="1"/>
      </rPr>
      <t xml:space="preserve">
</t>
    </r>
  </si>
  <si>
    <r>
      <rPr>
        <sz val="10"/>
        <rFont val="標楷體"/>
        <family val="4"/>
      </rPr>
      <t>高
等
考
試</t>
    </r>
  </si>
  <si>
    <r>
      <rPr>
        <sz val="10"/>
        <rFont val="標楷體"/>
        <family val="4"/>
      </rPr>
      <t>說明：自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年起增加教育程度統計，爰教育程度欄內之合計數及各訓練別之小計數均自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年起累計。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</si>
  <si>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31</t>
    </r>
    <r>
      <rPr>
        <sz val="14"/>
        <rFont val="標楷體"/>
        <family val="4"/>
      </rPr>
      <t>　高等普通初等考試錄取人員訓練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</si>
  <si>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r>
      <rPr>
        <sz val="10"/>
        <rFont val="標楷體"/>
        <family val="4"/>
      </rPr>
      <t>普
通
考
試</t>
    </r>
  </si>
  <si>
    <r>
      <rPr>
        <sz val="10"/>
        <rFont val="標楷體"/>
        <family val="4"/>
      </rPr>
      <t>初
等
考
試</t>
    </r>
  </si>
  <si>
    <r>
      <rPr>
        <sz val="10"/>
        <rFont val="標楷體"/>
        <family val="4"/>
      </rPr>
      <t xml:space="preserve">訓練人數
</t>
    </r>
    <r>
      <rPr>
        <sz val="10"/>
        <rFont val="Times New Roman"/>
        <family val="1"/>
      </rPr>
      <t>Individuals
 Trained 
Population</t>
    </r>
  </si>
  <si>
    <r>
      <rPr>
        <sz val="10"/>
        <rFont val="標楷體"/>
        <family val="4"/>
      </rPr>
      <t xml:space="preserve">及格人數
</t>
    </r>
    <r>
      <rPr>
        <sz val="10"/>
        <rFont val="Times New Roman"/>
        <family val="1"/>
      </rPr>
      <t>Qualified
Population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</si>
  <si>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 
Population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</si>
  <si>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</si>
  <si>
    <r>
      <rPr>
        <sz val="10"/>
        <rFont val="標楷體"/>
        <family val="4"/>
      </rPr>
      <t>碩士以上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</si>
  <si>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>大學專科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</si>
  <si>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</si>
  <si>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 
Population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</si>
  <si>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</si>
  <si>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</si>
  <si>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34</t>
    </r>
    <r>
      <rPr>
        <sz val="14"/>
        <rFont val="標楷體"/>
        <family val="4"/>
      </rPr>
      <t>　人事人員訓練</t>
    </r>
  </si>
  <si>
    <r>
      <t xml:space="preserve">Unit 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</si>
  <si>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</si>
  <si>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</si>
  <si>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
/Secondary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</si>
  <si>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</si>
  <si>
    <r>
      <t xml:space="preserve">  </t>
    </r>
    <r>
      <rPr>
        <sz val="10"/>
        <rFont val="標楷體"/>
        <family val="4"/>
      </rPr>
      <t xml:space="preserve">委任非主管人員
</t>
    </r>
    <r>
      <rPr>
        <sz val="10"/>
        <rFont val="Times New Roman"/>
        <family val="1"/>
      </rPr>
      <t xml:space="preserve">  Elementary Rank Non-Executives</t>
    </r>
  </si>
  <si>
    <r>
      <t xml:space="preserve">  </t>
    </r>
    <r>
      <rPr>
        <sz val="10"/>
        <rFont val="標楷體"/>
        <family val="4"/>
      </rPr>
      <t xml:space="preserve">初任各官等主管人員
</t>
    </r>
    <r>
      <rPr>
        <sz val="10"/>
        <rFont val="Times New Roman"/>
        <family val="1"/>
      </rPr>
      <t xml:space="preserve">  Newly Appointed Managers of
  all Ranks</t>
    </r>
  </si>
  <si>
    <t>Unit:%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</si>
  <si>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28</t>
    </r>
    <r>
      <rPr>
        <sz val="14"/>
        <rFont val="標楷體"/>
        <family val="4"/>
      </rPr>
      <t>　各項訓練女性學員比例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</si>
  <si>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Persons</t>
    </r>
  </si>
  <si>
    <r>
      <t>91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2002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</si>
  <si>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 frequency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</si>
  <si>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Cumulative</t>
    </r>
  </si>
  <si>
    <r>
      <rPr>
        <sz val="10"/>
        <rFont val="標楷體"/>
        <family val="4"/>
      </rPr>
      <t>總　　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</si>
  <si>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適用對象</t>
    </r>
    <r>
      <rPr>
        <sz val="10"/>
        <rFont val="Times New Roman"/>
        <family val="1"/>
      </rPr>
      <t xml:space="preserve"> Applicable Individuals</t>
    </r>
  </si>
  <si>
    <r>
      <rPr>
        <sz val="10"/>
        <rFont val="標楷體"/>
        <family val="4"/>
      </rPr>
      <t>準用對象</t>
    </r>
    <r>
      <rPr>
        <sz val="10"/>
        <rFont val="Times New Roman"/>
        <family val="1"/>
      </rPr>
      <t xml:space="preserve"> Permitted Individuals</t>
    </r>
  </si>
  <si>
    <t>年齡分布</t>
  </si>
  <si>
    <r>
      <rPr>
        <sz val="10"/>
        <rFont val="標楷體"/>
        <family val="4"/>
      </rPr>
      <t>教育程度</t>
    </r>
    <r>
      <rPr>
        <sz val="10"/>
        <rFont val="Times New Roman"/>
        <family val="1"/>
      </rPr>
      <t xml:space="preserve"> Education Level</t>
    </r>
  </si>
  <si>
    <t xml:space="preserve">Note: Actual numbers of personnel are calculated at the end of the year. </t>
  </si>
  <si>
    <r>
      <rPr>
        <sz val="9"/>
        <rFont val="標楷體"/>
        <family val="4"/>
      </rPr>
      <t>單位：人；％</t>
    </r>
  </si>
  <si>
    <r>
      <t xml:space="preserve">Unit 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People;%</t>
    </r>
  </si>
  <si>
    <r>
      <rPr>
        <sz val="10"/>
        <rFont val="標楷體"/>
        <family val="4"/>
      </rPr>
      <t xml:space="preserve">公務人員保障暨培訓委員會及所屬
</t>
    </r>
    <r>
      <rPr>
        <sz val="10"/>
        <rFont val="Times New Roman"/>
        <family val="1"/>
      </rPr>
      <t>Affiliated with the CSPTC</t>
    </r>
  </si>
  <si>
    <r>
      <rPr>
        <sz val="10"/>
        <rFont val="標楷體"/>
        <family val="4"/>
      </rPr>
      <t xml:space="preserve">編制員額
</t>
    </r>
    <r>
      <rPr>
        <sz val="10"/>
        <rFont val="Times New Roman"/>
        <family val="1"/>
      </rPr>
      <t>Enlisted Personnel</t>
    </r>
  </si>
  <si>
    <r>
      <rPr>
        <sz val="10"/>
        <rFont val="標楷體"/>
        <family val="4"/>
      </rPr>
      <t xml:space="preserve">　預算員額占編制員額百分比
</t>
    </r>
    <r>
      <rPr>
        <sz val="10"/>
        <rFont val="Times New Roman"/>
        <family val="1"/>
      </rPr>
      <t xml:space="preserve">  Ratio of Budgted Personnel to All
  Enlisted</t>
    </r>
  </si>
  <si>
    <r>
      <rPr>
        <sz val="10"/>
        <rFont val="標楷體"/>
        <family val="4"/>
      </rPr>
      <t xml:space="preserve">訓　　練　　名　　稱
</t>
    </r>
    <r>
      <rPr>
        <sz val="10"/>
        <rFont val="Times New Roman"/>
        <family val="1"/>
      </rPr>
      <t>Categories of Training</t>
    </r>
  </si>
  <si>
    <r>
      <rPr>
        <sz val="10"/>
        <rFont val="標楷體"/>
        <family val="4"/>
      </rPr>
      <t xml:space="preserve">合　　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</si>
  <si>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合　　計
</t>
    </r>
    <r>
      <rPr>
        <sz val="10"/>
        <rFont val="Times New Roman"/>
        <family val="1"/>
      </rPr>
      <t>Total</t>
    </r>
  </si>
  <si>
    <t>Note: As  indicated in Table 25.</t>
  </si>
  <si>
    <t>Note: As  indicated in Table 25.</t>
  </si>
  <si>
    <t>Note: As  indicated in Table 25.</t>
  </si>
  <si>
    <r>
      <rPr>
        <sz val="10"/>
        <rFont val="標楷體"/>
        <family val="4"/>
      </rPr>
      <t xml:space="preserve">　實有人數占預算員額百分比
</t>
    </r>
    <r>
      <rPr>
        <sz val="10"/>
        <rFont val="Times New Roman"/>
        <family val="1"/>
      </rPr>
      <t xml:space="preserve">  Ratio of Actual Numbers to Budgeted </t>
    </r>
  </si>
  <si>
    <r>
      <rPr>
        <sz val="10"/>
        <rFont val="標楷體"/>
        <family val="4"/>
      </rPr>
      <t>公務人員保障暨培訓委員會</t>
    </r>
    <r>
      <rPr>
        <sz val="10"/>
        <rFont val="Times New Roman"/>
        <family val="1"/>
      </rPr>
      <t xml:space="preserve">  
The CSPTC</t>
    </r>
  </si>
  <si>
    <r>
      <rPr>
        <sz val="10"/>
        <rFont val="標楷體"/>
        <family val="4"/>
      </rPr>
      <t xml:space="preserve">　預算員額占編制員額百分比
</t>
    </r>
    <r>
      <rPr>
        <sz val="10"/>
        <rFont val="Times New Roman"/>
        <family val="1"/>
      </rPr>
      <t xml:space="preserve">  Ratio of Budgted Personnel to All 
  Enlisted</t>
    </r>
  </si>
  <si>
    <r>
      <rPr>
        <sz val="10"/>
        <rFont val="標楷體"/>
        <family val="4"/>
      </rPr>
      <t>編制員額</t>
    </r>
    <r>
      <rPr>
        <sz val="10"/>
        <rFont val="Times New Roman"/>
        <family val="1"/>
      </rPr>
      <t xml:space="preserve"> 
Enlisted Personnel</t>
    </r>
  </si>
  <si>
    <r>
      <rPr>
        <sz val="10"/>
        <rFont val="標楷體"/>
        <family val="4"/>
      </rPr>
      <t xml:space="preserve">　預算員額占編制員額百分比
</t>
    </r>
    <r>
      <rPr>
        <sz val="10"/>
        <rFont val="Times New Roman"/>
        <family val="1"/>
      </rPr>
      <t xml:space="preserve">  Ratio of Budgted Personnel to All  
  Enlisted</t>
    </r>
  </si>
  <si>
    <r>
      <rPr>
        <sz val="10"/>
        <rFont val="標楷體"/>
        <family val="4"/>
      </rPr>
      <t>註：實有人數為年底數。</t>
    </r>
  </si>
  <si>
    <t xml:space="preserve">      4.配合95年2月23日考試院修正發布之「公務人員行政中立訓練辦法」第5條規定，原「行政中立講演」修正為「專題講演及</t>
  </si>
  <si>
    <t xml:space="preserve">        座談」，「網路學習」及「視聽學習」兩項合併為「數位學習」。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</si>
  <si>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</si>
  <si>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t>Table 33 Promotion Training(</t>
  </si>
  <si>
    <r>
      <rPr>
        <sz val="10"/>
        <rFont val="標楷體"/>
        <family val="4"/>
      </rPr>
      <t xml:space="preserve">訓練人數
</t>
    </r>
    <r>
      <rPr>
        <sz val="10"/>
        <rFont val="Times New Roman"/>
        <family val="1"/>
      </rPr>
      <t>Individuals
 Trained 
Population</t>
    </r>
  </si>
  <si>
    <r>
      <rPr>
        <sz val="10"/>
        <rFont val="標楷體"/>
        <family val="4"/>
      </rPr>
      <t xml:space="preserve">及格人數
</t>
    </r>
    <r>
      <rPr>
        <sz val="10"/>
        <rFont val="Times New Roman"/>
        <family val="1"/>
      </rPr>
      <t>Qualified
Population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</si>
  <si>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 
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</si>
  <si>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</si>
  <si>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</si>
  <si>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t>Age Distribution</t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</si>
  <si>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</si>
  <si>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</si>
  <si>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</si>
  <si>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訓練人數
</t>
    </r>
    <r>
      <rPr>
        <sz val="10"/>
        <rFont val="Times New Roman"/>
        <family val="1"/>
      </rPr>
      <t>Individuals
 Trained 
Population</t>
    </r>
  </si>
  <si>
    <r>
      <rPr>
        <sz val="10"/>
        <rFont val="標楷體"/>
        <family val="4"/>
      </rPr>
      <t xml:space="preserve">及格人數
</t>
    </r>
    <r>
      <rPr>
        <sz val="10"/>
        <rFont val="Times New Roman"/>
        <family val="1"/>
      </rPr>
      <t>Qualified
Population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</si>
  <si>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 
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</si>
  <si>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</si>
  <si>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</si>
  <si>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t>Age Distribution</t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</si>
  <si>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 xml:space="preserve">Education Level
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</si>
  <si>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</si>
  <si>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</si>
  <si>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</si>
  <si>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</t>
    </r>
  </si>
  <si>
    <r>
      <rPr>
        <sz val="10"/>
        <rFont val="標楷體"/>
        <family val="4"/>
      </rPr>
      <t>合計</t>
    </r>
    <r>
      <rPr>
        <sz val="10"/>
        <rFont val="Times New Roman"/>
        <family val="1"/>
      </rPr>
      <t xml:space="preserve"> Total</t>
    </r>
  </si>
  <si>
    <t>時數
(小時)
Hours　　　　</t>
  </si>
  <si>
    <r>
      <t xml:space="preserve"> </t>
    </r>
    <r>
      <rPr>
        <sz val="10"/>
        <rFont val="標楷體"/>
        <family val="4"/>
      </rPr>
      <t>總　　　計</t>
    </r>
    <r>
      <rPr>
        <sz val="10"/>
        <rFont val="Times New Roman"/>
        <family val="1"/>
      </rPr>
      <t xml:space="preserve"> Cumulative</t>
    </r>
  </si>
  <si>
    <r>
      <rPr>
        <sz val="8"/>
        <rFont val="標楷體"/>
        <family val="4"/>
      </rPr>
      <t xml:space="preserve">公務人員考試錄取人員訓練
</t>
    </r>
    <r>
      <rPr>
        <sz val="8"/>
        <rFont val="Times New Roman"/>
        <family val="1"/>
      </rPr>
      <t>Training for Personnel Newly Qualified Through Civil Service Exams</t>
    </r>
  </si>
  <si>
    <r>
      <rPr>
        <sz val="10"/>
        <rFont val="標楷體"/>
        <family val="4"/>
      </rPr>
      <t>進用初任公務人員訓練</t>
    </r>
    <r>
      <rPr>
        <sz val="10"/>
        <rFont val="Times New Roman"/>
        <family val="1"/>
      </rPr>
      <t xml:space="preserve">  
</t>
    </r>
    <r>
      <rPr>
        <sz val="10"/>
        <rFont val="Times New Roman"/>
        <family val="1"/>
      </rPr>
      <t xml:space="preserve">Training for Newly Appointed Civil Servants Servants       </t>
    </r>
    <r>
      <rPr>
        <sz val="10"/>
        <rFont val="標楷體"/>
        <family val="4"/>
      </rPr>
      <t>　　　　</t>
    </r>
  </si>
  <si>
    <r>
      <rPr>
        <sz val="10"/>
        <rFont val="標楷體"/>
        <family val="4"/>
      </rPr>
      <t xml:space="preserve">初任各官等主管人員訓練
</t>
    </r>
    <r>
      <rPr>
        <sz val="10"/>
        <rFont val="Times New Roman"/>
        <family val="1"/>
      </rPr>
      <t>New Appointed Executives with All Ranks</t>
    </r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</si>
  <si>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   -</t>
    </r>
    <r>
      <rPr>
        <sz val="10"/>
        <rFont val="標楷體"/>
        <family val="4"/>
      </rPr>
      <t xml:space="preserve">航空管制
</t>
    </r>
    <r>
      <rPr>
        <sz val="10"/>
        <rFont val="Times New Roman"/>
        <family val="1"/>
      </rPr>
      <t xml:space="preserve">             Aviation Control</t>
    </r>
  </si>
  <si>
    <r>
      <rPr>
        <sz val="10"/>
        <rFont val="標楷體"/>
        <family val="4"/>
      </rPr>
      <t xml:space="preserve">　警正警察人員晉升警監官等
</t>
    </r>
    <r>
      <rPr>
        <sz val="10"/>
        <rFont val="Times New Roman"/>
        <family val="1"/>
      </rPr>
      <t xml:space="preserve">    Police Major to
    Superintendent Rank Promotion</t>
    </r>
  </si>
  <si>
    <t>表 20　全國公務人員訓練進修統計－總計</t>
  </si>
  <si>
    <t>表 21　全國公務人員訓練進修統計－簡任</t>
  </si>
  <si>
    <t>表 22　全國公務人員訓練進修統計－薦任</t>
  </si>
  <si>
    <t>表 23　全國公務人員訓練進修統計－委任</t>
  </si>
  <si>
    <r>
      <rPr>
        <sz val="10"/>
        <rFont val="標楷體"/>
        <family val="4"/>
      </rPr>
      <t>　委任公務人員晉升薦任官等</t>
    </r>
    <r>
      <rPr>
        <sz val="10"/>
        <rFont val="Times New Roman"/>
        <family val="1"/>
      </rPr>
      <t xml:space="preserve"> 
    Elementary to Junior Rank
    Promotion</t>
    </r>
  </si>
  <si>
    <r>
      <rPr>
        <sz val="10"/>
        <rFont val="標楷體"/>
        <family val="4"/>
      </rPr>
      <t xml:space="preserve">　警佐警察人員晉升警正官等
</t>
    </r>
    <r>
      <rPr>
        <sz val="10"/>
        <rFont val="Times New Roman"/>
        <family val="1"/>
      </rPr>
      <t xml:space="preserve">    Police Sergeant to Major
    Rank Promotion</t>
    </r>
  </si>
  <si>
    <r>
      <t xml:space="preserve">  </t>
    </r>
    <r>
      <rPr>
        <sz val="10"/>
        <rFont val="標楷體"/>
        <family val="4"/>
      </rPr>
      <t>薦任及委任非主管人事人員</t>
    </r>
    <r>
      <rPr>
        <sz val="10"/>
        <rFont val="Times New Roman"/>
        <family val="1"/>
      </rPr>
      <t xml:space="preserve"> 
  Junior/Elementary Rank
  Non-Personnel Executives</t>
    </r>
  </si>
  <si>
    <r>
      <t xml:space="preserve">  </t>
    </r>
    <r>
      <rPr>
        <sz val="10"/>
        <rFont val="標楷體"/>
        <family val="4"/>
      </rPr>
      <t xml:space="preserve">經濟部專利商標審查人員
</t>
    </r>
    <r>
      <rPr>
        <sz val="10"/>
        <rFont val="Times New Roman"/>
        <family val="1"/>
      </rPr>
      <t xml:space="preserve">  Patent and Trademark
  Application Reviewers   Ministry of 
  Economic Affairs</t>
    </r>
  </si>
  <si>
    <r>
      <t xml:space="preserve">  </t>
    </r>
    <r>
      <rPr>
        <sz val="10"/>
        <rFont val="標楷體"/>
        <family val="4"/>
      </rPr>
      <t>交通事業公路人員</t>
    </r>
    <r>
      <rPr>
        <sz val="10"/>
        <rFont val="Times New Roman"/>
        <family val="1"/>
      </rPr>
      <t xml:space="preserve"> 
  Transportation
  Enterprise Highway
  Personnel</t>
    </r>
  </si>
  <si>
    <r>
      <t xml:space="preserve">  </t>
    </r>
    <r>
      <rPr>
        <sz val="10"/>
        <rFont val="標楷體"/>
        <family val="4"/>
      </rPr>
      <t xml:space="preserve">交通事業鐵路人員
</t>
    </r>
    <r>
      <rPr>
        <sz val="10"/>
        <rFont val="Times New Roman"/>
        <family val="1"/>
      </rPr>
      <t xml:space="preserve">  Transportation
  Enterprise Railways
  Personnel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</si>
</sst>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_-;_-@_-"/>
    <numFmt numFmtId="178" formatCode="#,##0.00_ "/>
    <numFmt numFmtId="179" formatCode="_-* #,##0_-;\-* #,##0_-;_-* &quot;-&quot;??_-;_-@_-"/>
    <numFmt numFmtId="180" formatCode="#,##0.0;\-;\-"/>
    <numFmt numFmtId="181" formatCode="_-* #,##0.0_-;\-* #,##0.0_-;_-* &quot;-&quot;?_-;_-@_-"/>
    <numFmt numFmtId="182" formatCode="_-* #,##0.0_-;\-* #,##0.0_-;_-* &quot;-&quot;??_-;_-@_-"/>
    <numFmt numFmtId="183" formatCode="* #,##0&quot;　　　　&quot;;;* &quot;-　　　　&quot;;_-@_-"/>
    <numFmt numFmtId="184" formatCode="0_);[Red]\(0\)"/>
    <numFmt numFmtId="185" formatCode="* #,##0&quot;　　&quot;;;* &quot;-　　&quot;;_-@_-"/>
    <numFmt numFmtId="186" formatCode="* #,##0&quot;　&quot;;;* &quot;-　&quot;;_-@_-"/>
    <numFmt numFmtId="187" formatCode="* #,##0.0&quot;　&quot;;;* &quot;-　&quot;;_-@_-"/>
    <numFmt numFmtId="188" formatCode="0.0_ "/>
    <numFmt numFmtId="189" formatCode="0_ "/>
    <numFmt numFmtId="190" formatCode="0.00_);[Red]\(0.00\)"/>
    <numFmt numFmtId="191" formatCode="0.00_ "/>
    <numFmt numFmtId="192" formatCode="#,##0_ "/>
    <numFmt numFmtId="193" formatCode="_-* #,##0.000_-;\-* #,##0.000_-;_-* &quot;-&quot;???_-;_-@_-"/>
    <numFmt numFmtId="194" formatCode="_-* #,##0.0000_-;\-* #,##0.0000_-;_-* &quot;-&quot;????_-;_-@_-"/>
    <numFmt numFmtId="195" formatCode="0.0_);[Red]\(0.0\)"/>
    <numFmt numFmtId="196" formatCode="_-&quot;$&quot;* #,##0.0_-;\-&quot;$&quot;* #,##0.0_-;_-&quot;$&quot;* &quot;-&quot;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 "/>
    <numFmt numFmtId="201" formatCode="[$€-2]\ #,##0.00_);[Red]\([$€-2]\ #,##0.00\)"/>
    <numFmt numFmtId="202" formatCode="[$-404]AM/PM\ hh:mm:ss"/>
    <numFmt numFmtId="203" formatCode="_-* #,##0.00_-;\-* #,##0.00_-;_-* &quot;-&quot;?_-;_-@_-"/>
    <numFmt numFmtId="204" formatCode="_-* #,##0_-;\-* #,##0_-;_-* &quot;-&quot;?_-;_-@_-"/>
    <numFmt numFmtId="205" formatCode="_-* #,##0.000_-;\-* #,##0.000_-;_-* &quot;-&quot;?_-;_-@_-"/>
    <numFmt numFmtId="206" formatCode="_-* #,##0.0000_-;\-* #,##0.0000_-;_-* &quot;-&quot;?_-;_-@_-"/>
    <numFmt numFmtId="207" formatCode="_-* #,##0.00000_-;\-* #,##0.00000_-;_-* &quot;-&quot;?_-;_-@_-"/>
    <numFmt numFmtId="208" formatCode="_-* #,##0.00_-;\-* #,##0.00_-;_-* &quot;-&quot;_-;_-@_-"/>
    <numFmt numFmtId="209" formatCode="0.0%"/>
    <numFmt numFmtId="210" formatCode="_-* #,##0.000_-;\-* #,##0.000_-;_-* &quot;-&quot;_-;_-@_-"/>
    <numFmt numFmtId="211" formatCode="_-* #,##0.0000_-;\-* #,##0.0000_-;_-* &quot;-&quot;_-;_-@_-"/>
    <numFmt numFmtId="212" formatCode="###,##0"/>
    <numFmt numFmtId="213" formatCode="0.0000000000_ "/>
    <numFmt numFmtId="214" formatCode="0.00000000000_ "/>
    <numFmt numFmtId="215" formatCode="0.000000000_ "/>
    <numFmt numFmtId="216" formatCode="0.00000000_ "/>
    <numFmt numFmtId="217" formatCode="0.0000000_ "/>
    <numFmt numFmtId="218" formatCode="0.000000_ "/>
    <numFmt numFmtId="219" formatCode="0.00000_ "/>
    <numFmt numFmtId="220" formatCode="0.0000_ "/>
    <numFmt numFmtId="221" formatCode="0.000_ "/>
    <numFmt numFmtId="222" formatCode="m&quot;月&quot;d&quot;日&quot;"/>
    <numFmt numFmtId="223" formatCode="_-* #,##0.00000_-;\-* #,##0.00000_-;_-* &quot;-&quot;_-;_-@_-"/>
    <numFmt numFmtId="224" formatCode="_-* #,##0.000000_-;\-* #,##0.000000_-;_-* &quot;-&quot;_-;_-@_-"/>
    <numFmt numFmtId="225" formatCode="_-* #,##0.0000000_-;\-* #,##0.0000000_-;_-* &quot;-&quot;_-;_-@_-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5.5"/>
      <name val="Times New Roman"/>
      <family val="1"/>
    </font>
    <font>
      <sz val="7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sz val="9.5"/>
      <name val="Times New Roman"/>
      <family val="1"/>
    </font>
    <font>
      <sz val="9.5"/>
      <name val="標楷體"/>
      <family val="4"/>
    </font>
    <font>
      <sz val="7.5"/>
      <name val="標楷體"/>
      <family val="4"/>
    </font>
    <font>
      <sz val="8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1" fontId="1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1" fontId="10" fillId="0" borderId="0" xfId="0" applyNumberFormat="1" applyFont="1" applyFill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41" fontId="10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/>
    </xf>
    <xf numFmtId="4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1" fontId="6" fillId="0" borderId="0" xfId="0" applyNumberFormat="1" applyFont="1" applyAlignment="1">
      <alignment/>
    </xf>
    <xf numFmtId="41" fontId="10" fillId="0" borderId="10" xfId="0" applyNumberFormat="1" applyFont="1" applyFill="1" applyBorder="1" applyAlignment="1">
      <alignment vertical="center"/>
    </xf>
    <xf numFmtId="41" fontId="10" fillId="0" borderId="10" xfId="0" applyNumberFormat="1" applyFont="1" applyBorder="1" applyAlignment="1">
      <alignment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2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10" fillId="0" borderId="1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1" fontId="10" fillId="4" borderId="11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0" fillId="4" borderId="1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wrapText="1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1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1" fontId="12" fillId="0" borderId="0" xfId="34" applyNumberFormat="1" applyFont="1" applyAlignment="1">
      <alignment/>
    </xf>
    <xf numFmtId="181" fontId="12" fillId="0" borderId="0" xfId="34" applyNumberFormat="1" applyFont="1" applyAlignment="1">
      <alignment horizontal="center" vertical="center"/>
    </xf>
    <xf numFmtId="41" fontId="12" fillId="0" borderId="0" xfId="34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13" fillId="0" borderId="0" xfId="0" applyFont="1" applyAlignment="1">
      <alignment horizontal="left"/>
    </xf>
    <xf numFmtId="41" fontId="9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41" fontId="13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41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1" fontId="9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1" fontId="8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11" fillId="0" borderId="0" xfId="0" applyFont="1" applyAlignment="1">
      <alignment vertical="center"/>
    </xf>
    <xf numFmtId="41" fontId="10" fillId="24" borderId="0" xfId="0" applyNumberFormat="1" applyFont="1" applyFill="1" applyBorder="1" applyAlignment="1">
      <alignment vertical="center"/>
    </xf>
    <xf numFmtId="41" fontId="10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1" fontId="10" fillId="16" borderId="19" xfId="0" applyNumberFormat="1" applyFont="1" applyFill="1" applyBorder="1" applyAlignment="1">
      <alignment vertical="center"/>
    </xf>
    <xf numFmtId="41" fontId="10" fillId="16" borderId="15" xfId="0" applyNumberFormat="1" applyFont="1" applyFill="1" applyBorder="1" applyAlignment="1">
      <alignment vertical="center"/>
    </xf>
    <xf numFmtId="41" fontId="10" fillId="0" borderId="20" xfId="0" applyNumberFormat="1" applyFont="1" applyFill="1" applyBorder="1" applyAlignment="1">
      <alignment vertical="center"/>
    </xf>
    <xf numFmtId="41" fontId="6" fillId="4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1" fontId="10" fillId="16" borderId="0" xfId="0" applyNumberFormat="1" applyFont="1" applyFill="1" applyBorder="1" applyAlignment="1">
      <alignment vertical="center"/>
    </xf>
    <xf numFmtId="41" fontId="10" fillId="4" borderId="19" xfId="0" applyNumberFormat="1" applyFont="1" applyFill="1" applyBorder="1" applyAlignment="1">
      <alignment vertical="center"/>
    </xf>
    <xf numFmtId="0" fontId="10" fillId="16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41" fontId="11" fillId="0" borderId="0" xfId="34" applyNumberFormat="1" applyFont="1" applyAlignment="1">
      <alignment vertical="center"/>
    </xf>
    <xf numFmtId="0" fontId="7" fillId="0" borderId="0" xfId="0" applyFont="1" applyBorder="1" applyAlignment="1">
      <alignment horizontal="right"/>
    </xf>
    <xf numFmtId="41" fontId="11" fillId="0" borderId="0" xfId="34" applyNumberFormat="1" applyFont="1" applyBorder="1" applyAlignment="1">
      <alignment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center" wrapText="1"/>
    </xf>
    <xf numFmtId="181" fontId="11" fillId="0" borderId="0" xfId="34" applyNumberFormat="1" applyFont="1" applyAlignment="1">
      <alignment vertical="center"/>
    </xf>
    <xf numFmtId="181" fontId="11" fillId="0" borderId="0" xfId="34" applyNumberFormat="1" applyFont="1" applyBorder="1" applyAlignment="1">
      <alignment/>
    </xf>
    <xf numFmtId="0" fontId="6" fillId="0" borderId="0" xfId="0" applyFont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24" borderId="12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0" fontId="10" fillId="2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41" fontId="10" fillId="0" borderId="1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 horizontal="left" vertical="center"/>
    </xf>
    <xf numFmtId="0" fontId="10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 indent="2"/>
    </xf>
    <xf numFmtId="0" fontId="10" fillId="0" borderId="14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10" fillId="4" borderId="13" xfId="0" applyNumberFormat="1" applyFont="1" applyFill="1" applyBorder="1" applyAlignment="1">
      <alignment vertical="center"/>
    </xf>
    <xf numFmtId="41" fontId="10" fillId="4" borderId="22" xfId="0" applyNumberFormat="1" applyFont="1" applyFill="1" applyBorder="1" applyAlignment="1">
      <alignment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34" applyNumberFormat="1" applyFont="1" applyBorder="1" applyAlignment="1">
      <alignment horizontal="right" vertical="center"/>
    </xf>
    <xf numFmtId="41" fontId="7" fillId="0" borderId="10" xfId="34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1" fontId="10" fillId="0" borderId="0" xfId="0" applyNumberFormat="1" applyFont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16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2" xfId="0" applyFont="1" applyBorder="1" applyAlignment="1">
      <alignment vertical="center" wrapText="1"/>
    </xf>
    <xf numFmtId="0" fontId="18" fillId="0" borderId="0" xfId="0" applyFont="1" applyFill="1" applyAlignment="1">
      <alignment horizontal="left"/>
    </xf>
    <xf numFmtId="0" fontId="8" fillId="24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1" fontId="10" fillId="24" borderId="0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6" borderId="1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right" vertical="center"/>
    </xf>
    <xf numFmtId="41" fontId="10" fillId="24" borderId="0" xfId="0" applyNumberFormat="1" applyFont="1" applyFill="1" applyAlignment="1">
      <alignment horizontal="center" vertical="center"/>
    </xf>
    <xf numFmtId="41" fontId="6" fillId="24" borderId="0" xfId="0" applyNumberFormat="1" applyFont="1" applyFill="1" applyAlignment="1">
      <alignment horizontal="center" vertical="center"/>
    </xf>
    <xf numFmtId="41" fontId="10" fillId="0" borderId="0" xfId="0" applyNumberFormat="1" applyFont="1" applyFill="1" applyAlignment="1">
      <alignment horizontal="center" vertical="center"/>
    </xf>
    <xf numFmtId="41" fontId="10" fillId="6" borderId="0" xfId="0" applyNumberFormat="1" applyFont="1" applyFill="1" applyBorder="1" applyAlignment="1">
      <alignment vertical="center"/>
    </xf>
    <xf numFmtId="41" fontId="10" fillId="6" borderId="1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textRotation="180" wrapText="1"/>
    </xf>
    <xf numFmtId="0" fontId="16" fillId="0" borderId="0" xfId="0" applyFont="1" applyBorder="1" applyAlignment="1">
      <alignment vertical="center"/>
    </xf>
    <xf numFmtId="41" fontId="10" fillId="0" borderId="20" xfId="0" applyNumberFormat="1" applyFont="1" applyBorder="1" applyAlignment="1">
      <alignment horizontal="center" vertical="center"/>
    </xf>
    <xf numFmtId="41" fontId="10" fillId="4" borderId="19" xfId="0" applyNumberFormat="1" applyFont="1" applyFill="1" applyBorder="1" applyAlignment="1">
      <alignment vertical="center" wrapText="1"/>
    </xf>
    <xf numFmtId="41" fontId="10" fillId="4" borderId="15" xfId="0" applyNumberFormat="1" applyFont="1" applyFill="1" applyBorder="1" applyAlignment="1">
      <alignment vertical="center" wrapText="1"/>
    </xf>
    <xf numFmtId="41" fontId="10" fillId="0" borderId="11" xfId="0" applyNumberFormat="1" applyFont="1" applyFill="1" applyBorder="1" applyAlignment="1">
      <alignment vertical="center" wrapText="1"/>
    </xf>
    <xf numFmtId="41" fontId="10" fillId="4" borderId="0" xfId="0" applyNumberFormat="1" applyFont="1" applyFill="1" applyBorder="1" applyAlignment="1">
      <alignment vertical="center" wrapText="1"/>
    </xf>
    <xf numFmtId="41" fontId="10" fillId="4" borderId="11" xfId="0" applyNumberFormat="1" applyFont="1" applyFill="1" applyBorder="1" applyAlignment="1">
      <alignment vertical="center" wrapText="1"/>
    </xf>
    <xf numFmtId="0" fontId="10" fillId="24" borderId="0" xfId="0" applyFont="1" applyFill="1" applyBorder="1" applyAlignment="1">
      <alignment/>
    </xf>
    <xf numFmtId="41" fontId="10" fillId="0" borderId="10" xfId="0" applyNumberFormat="1" applyFont="1" applyFill="1" applyBorder="1" applyAlignment="1">
      <alignment vertical="center" wrapText="1"/>
    </xf>
    <xf numFmtId="177" fontId="10" fillId="0" borderId="1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24" borderId="11" xfId="0" applyNumberFormat="1" applyFont="1" applyFill="1" applyBorder="1" applyAlignment="1">
      <alignment vertical="center"/>
    </xf>
    <xf numFmtId="177" fontId="10" fillId="24" borderId="0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0" xfId="0" applyNumberFormat="1" applyFont="1" applyAlignment="1">
      <alignment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6" borderId="0" xfId="0" applyNumberFormat="1" applyFont="1" applyFill="1" applyBorder="1" applyAlignment="1">
      <alignment vertical="center"/>
    </xf>
    <xf numFmtId="177" fontId="10" fillId="0" borderId="0" xfId="0" applyNumberFormat="1" applyFont="1" applyAlignment="1">
      <alignment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181" fontId="7" fillId="0" borderId="15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208" fontId="10" fillId="0" borderId="0" xfId="0" applyNumberFormat="1" applyFont="1" applyFill="1" applyBorder="1" applyAlignment="1">
      <alignment vertical="center"/>
    </xf>
    <xf numFmtId="208" fontId="10" fillId="0" borderId="11" xfId="0" applyNumberFormat="1" applyFont="1" applyFill="1" applyBorder="1" applyAlignment="1">
      <alignment vertical="center"/>
    </xf>
    <xf numFmtId="210" fontId="10" fillId="0" borderId="11" xfId="0" applyNumberFormat="1" applyFont="1" applyFill="1" applyBorder="1" applyAlignment="1">
      <alignment vertical="center"/>
    </xf>
    <xf numFmtId="195" fontId="7" fillId="0" borderId="15" xfId="0" applyNumberFormat="1" applyFont="1" applyBorder="1" applyAlignment="1">
      <alignment horizontal="right" vertical="center"/>
    </xf>
    <xf numFmtId="195" fontId="7" fillId="0" borderId="0" xfId="0" applyNumberFormat="1" applyFont="1" applyBorder="1" applyAlignment="1">
      <alignment horizontal="right" vertical="center"/>
    </xf>
    <xf numFmtId="195" fontId="7" fillId="0" borderId="10" xfId="0" applyNumberFormat="1" applyFont="1" applyBorder="1" applyAlignment="1">
      <alignment horizontal="right" vertical="center"/>
    </xf>
    <xf numFmtId="200" fontId="7" fillId="0" borderId="15" xfId="0" applyNumberFormat="1" applyFont="1" applyBorder="1" applyAlignment="1">
      <alignment horizontal="right" vertical="center"/>
    </xf>
    <xf numFmtId="200" fontId="7" fillId="0" borderId="0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right" vertical="center"/>
    </xf>
    <xf numFmtId="177" fontId="10" fillId="6" borderId="0" xfId="0" applyNumberFormat="1" applyFont="1" applyFill="1" applyBorder="1" applyAlignment="1">
      <alignment vertical="center"/>
    </xf>
    <xf numFmtId="41" fontId="10" fillId="4" borderId="23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top" wrapText="1"/>
    </xf>
    <xf numFmtId="188" fontId="7" fillId="0" borderId="15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10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vertical="center"/>
    </xf>
    <xf numFmtId="177" fontId="10" fillId="24" borderId="0" xfId="0" applyNumberFormat="1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9" fontId="10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0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41" fontId="10" fillId="0" borderId="20" xfId="0" applyNumberFormat="1" applyFont="1" applyFill="1" applyBorder="1" applyAlignment="1">
      <alignment horizontal="center"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208" fontId="10" fillId="0" borderId="10" xfId="0" applyNumberFormat="1" applyFont="1" applyFill="1" applyBorder="1" applyAlignment="1">
      <alignment vertical="center"/>
    </xf>
    <xf numFmtId="0" fontId="13" fillId="0" borderId="20" xfId="0" applyFont="1" applyBorder="1" applyAlignment="1">
      <alignment/>
    </xf>
    <xf numFmtId="177" fontId="10" fillId="0" borderId="2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177" fontId="10" fillId="0" borderId="2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4" borderId="15" xfId="0" applyNumberFormat="1" applyFont="1" applyFill="1" applyBorder="1" applyAlignment="1">
      <alignment horizontal="distributed" wrapText="1"/>
    </xf>
    <xf numFmtId="41" fontId="10" fillId="4" borderId="0" xfId="0" applyNumberFormat="1" applyFont="1" applyFill="1" applyBorder="1" applyAlignment="1">
      <alignment horizontal="distributed" wrapText="1"/>
    </xf>
    <xf numFmtId="0" fontId="10" fillId="0" borderId="20" xfId="0" applyFont="1" applyFill="1" applyBorder="1" applyAlignment="1">
      <alignment horizontal="center" vertical="center" wrapText="1"/>
    </xf>
    <xf numFmtId="41" fontId="10" fillId="4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6" fillId="0" borderId="0" xfId="34" applyNumberFormat="1" applyFont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181" fontId="16" fillId="0" borderId="10" xfId="34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horizontal="center" vertical="center" wrapText="1"/>
    </xf>
    <xf numFmtId="41" fontId="16" fillId="0" borderId="20" xfId="0" applyNumberFormat="1" applyFont="1" applyBorder="1" applyAlignment="1">
      <alignment horizontal="center" vertical="center" wrapText="1"/>
    </xf>
    <xf numFmtId="41" fontId="16" fillId="0" borderId="15" xfId="34" applyNumberFormat="1" applyFont="1" applyBorder="1" applyAlignment="1">
      <alignment horizontal="center" vertical="center" wrapText="1"/>
    </xf>
    <xf numFmtId="41" fontId="16" fillId="0" borderId="10" xfId="34" applyNumberFormat="1" applyFont="1" applyBorder="1" applyAlignment="1">
      <alignment horizontal="center" vertical="center" wrapText="1"/>
    </xf>
    <xf numFmtId="41" fontId="16" fillId="0" borderId="15" xfId="0" applyNumberFormat="1" applyFont="1" applyBorder="1" applyAlignment="1">
      <alignment horizontal="center" vertical="center" wrapText="1"/>
    </xf>
    <xf numFmtId="41" fontId="16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81" fontId="16" fillId="0" borderId="15" xfId="34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18" fillId="0" borderId="2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readingOrder="1"/>
    </xf>
    <xf numFmtId="0" fontId="18" fillId="0" borderId="19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8" fillId="0" borderId="23" xfId="0" applyFont="1" applyBorder="1" applyAlignment="1">
      <alignment horizontal="left" vertical="center" wrapText="1" indent="1"/>
    </xf>
    <xf numFmtId="41" fontId="18" fillId="0" borderId="0" xfId="34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textRotation="180" wrapText="1" readingOrder="1"/>
    </xf>
    <xf numFmtId="0" fontId="6" fillId="0" borderId="12" xfId="0" applyFont="1" applyBorder="1" applyAlignment="1">
      <alignment horizontal="left" vertical="center" textRotation="180" wrapText="1" readingOrder="1"/>
    </xf>
    <xf numFmtId="0" fontId="6" fillId="0" borderId="0" xfId="0" applyFont="1" applyAlignment="1">
      <alignment horizontal="center" vertical="center"/>
    </xf>
    <xf numFmtId="41" fontId="18" fillId="0" borderId="0" xfId="34" applyNumberFormat="1" applyFont="1" applyAlignment="1">
      <alignment horizontal="left" vertical="center"/>
    </xf>
    <xf numFmtId="0" fontId="10" fillId="0" borderId="15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2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horizontal="left" vertical="center" wrapText="1" readingOrder="1"/>
    </xf>
    <xf numFmtId="0" fontId="10" fillId="0" borderId="19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textRotation="180" wrapText="1" readingOrder="1"/>
    </xf>
    <xf numFmtId="0" fontId="7" fillId="0" borderId="19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wrapText="1"/>
    </xf>
    <xf numFmtId="41" fontId="1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textRotation="180" wrapText="1" readingOrder="1"/>
    </xf>
    <xf numFmtId="0" fontId="11" fillId="0" borderId="16" xfId="0" applyFont="1" applyBorder="1" applyAlignment="1">
      <alignment horizontal="left" vertical="center" textRotation="180" wrapText="1" readingOrder="1"/>
    </xf>
    <xf numFmtId="0" fontId="26" fillId="0" borderId="19" xfId="0" applyFont="1" applyBorder="1" applyAlignment="1">
      <alignment horizontal="left" vertical="center" wrapText="1" indent="1"/>
    </xf>
    <xf numFmtId="0" fontId="26" fillId="0" borderId="15" xfId="0" applyFont="1" applyBorder="1" applyAlignment="1">
      <alignment horizontal="left" vertical="center" wrapText="1" indent="1"/>
    </xf>
    <xf numFmtId="0" fontId="26" fillId="0" borderId="23" xfId="0" applyFont="1" applyBorder="1" applyAlignment="1">
      <alignment horizontal="left" vertical="center" wrapText="1" indent="1"/>
    </xf>
    <xf numFmtId="0" fontId="26" fillId="0" borderId="11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 indent="1"/>
    </xf>
    <xf numFmtId="0" fontId="26" fillId="0" borderId="20" xfId="0" applyFont="1" applyBorder="1" applyAlignment="1">
      <alignment horizontal="left" vertical="center" wrapText="1" indent="1"/>
    </xf>
    <xf numFmtId="0" fontId="26" fillId="0" borderId="10" xfId="0" applyFont="1" applyBorder="1" applyAlignment="1">
      <alignment horizontal="left" vertical="center" wrapText="1" indent="1"/>
    </xf>
    <xf numFmtId="0" fontId="26" fillId="0" borderId="16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left" vertical="center" textRotation="180" wrapText="1" readingOrder="1"/>
    </xf>
    <xf numFmtId="181" fontId="28" fillId="0" borderId="15" xfId="34" applyNumberFormat="1" applyFont="1" applyBorder="1" applyAlignment="1">
      <alignment horizontal="center" vertical="center" wrapText="1"/>
    </xf>
    <xf numFmtId="181" fontId="28" fillId="0" borderId="10" xfId="34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4" fillId="0" borderId="0" xfId="0" applyFont="1" applyFill="1" applyAlignment="1" quotePrefix="1">
      <alignment horizontal="center" vertical="center"/>
    </xf>
    <xf numFmtId="0" fontId="6" fillId="0" borderId="0" xfId="0" applyFont="1" applyFill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textRotation="180" wrapText="1"/>
    </xf>
    <xf numFmtId="0" fontId="11" fillId="0" borderId="12" xfId="0" applyFont="1" applyBorder="1" applyAlignment="1">
      <alignment vertical="center" textRotation="180"/>
    </xf>
    <xf numFmtId="0" fontId="11" fillId="0" borderId="16" xfId="0" applyFont="1" applyBorder="1" applyAlignment="1">
      <alignment vertical="center" textRotation="180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textRotation="180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180" wrapText="1"/>
    </xf>
    <xf numFmtId="0" fontId="11" fillId="0" borderId="16" xfId="0" applyFont="1" applyBorder="1" applyAlignment="1">
      <alignment horizontal="center" vertical="center" textRotation="180" wrapText="1"/>
    </xf>
    <xf numFmtId="0" fontId="10" fillId="0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180" wrapText="1"/>
    </xf>
    <xf numFmtId="0" fontId="6" fillId="0" borderId="12" xfId="0" applyFont="1" applyFill="1" applyBorder="1" applyAlignment="1">
      <alignment horizontal="center" vertical="center" textRotation="180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textRotation="180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180" wrapText="1"/>
    </xf>
    <xf numFmtId="0" fontId="6" fillId="0" borderId="1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180" wrapText="1"/>
    </xf>
    <xf numFmtId="0" fontId="23" fillId="0" borderId="12" xfId="0" applyFont="1" applyBorder="1" applyAlignment="1">
      <alignment horizontal="center" vertical="center" textRotation="180" wrapText="1"/>
    </xf>
    <xf numFmtId="0" fontId="23" fillId="0" borderId="16" xfId="0" applyFont="1" applyBorder="1" applyAlignment="1">
      <alignment horizontal="center" vertical="center" textRotation="180" wrapText="1"/>
    </xf>
    <xf numFmtId="0" fontId="18" fillId="0" borderId="12" xfId="0" applyFont="1" applyBorder="1" applyAlignment="1">
      <alignment horizontal="center" vertical="center" textRotation="180" wrapText="1"/>
    </xf>
    <xf numFmtId="0" fontId="18" fillId="0" borderId="16" xfId="0" applyFont="1" applyBorder="1" applyAlignment="1">
      <alignment horizontal="center" vertical="center" textRotation="180" wrapText="1"/>
    </xf>
    <xf numFmtId="0" fontId="21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6" xfId="0" applyFont="1" applyBorder="1" applyAlignment="1">
      <alignment horizontal="center" vertical="center" textRotation="180" wrapText="1"/>
    </xf>
    <xf numFmtId="0" fontId="6" fillId="0" borderId="12" xfId="0" applyFont="1" applyBorder="1" applyAlignment="1">
      <alignment horizontal="center" vertical="center" textRotation="180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 wrapTex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7" fillId="0" borderId="10" xfId="0" applyFont="1" applyBorder="1" applyAlignment="1">
      <alignment horizontal="center" vertical="center" textRotation="180" wrapText="1"/>
    </xf>
    <xf numFmtId="0" fontId="13" fillId="0" borderId="0" xfId="0" applyFont="1" applyFill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textRotation="180" wrapText="1"/>
    </xf>
    <xf numFmtId="0" fontId="8" fillId="0" borderId="16" xfId="0" applyFont="1" applyBorder="1" applyAlignment="1">
      <alignment horizontal="center" vertical="center" textRotation="180" wrapText="1"/>
    </xf>
    <xf numFmtId="0" fontId="6" fillId="0" borderId="0" xfId="0" applyFont="1" applyBorder="1" applyAlignment="1">
      <alignment horizontal="center" vertical="center" textRotation="180" wrapText="1"/>
    </xf>
    <xf numFmtId="0" fontId="22" fillId="0" borderId="2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/>
    </xf>
    <xf numFmtId="41" fontId="10" fillId="24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1" fontId="10" fillId="24" borderId="1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41" fontId="7" fillId="0" borderId="0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1" fontId="10" fillId="0" borderId="11" xfId="0" applyNumberFormat="1" applyFont="1" applyFill="1" applyBorder="1" applyAlignment="1">
      <alignment horizontal="center" vertical="center"/>
    </xf>
    <xf numFmtId="41" fontId="10" fillId="4" borderId="15" xfId="0" applyNumberFormat="1" applyFont="1" applyFill="1" applyBorder="1" applyAlignment="1">
      <alignment horizontal="center" vertical="center"/>
    </xf>
    <xf numFmtId="41" fontId="10" fillId="4" borderId="19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18" fillId="0" borderId="0" xfId="0" applyFont="1" applyFill="1" applyAlignment="1">
      <alignment horizontal="lef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0341;PDF1010924\(&#27491;&#30906;&#29256;)100&#24180;&#32113;&#35336;&#24180;&#22577;&#32113;&#35336;&#34920;20120629(&#30332;&#23637;&#343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表20"/>
      <sheetName val="表21"/>
      <sheetName val="表22"/>
      <sheetName val="表23"/>
      <sheetName val="表24"/>
      <sheetName val="表24(續1)"/>
      <sheetName val="表24(續2)"/>
      <sheetName val="表24(續完)"/>
      <sheetName val="表25"/>
      <sheetName val="表25(續1)"/>
      <sheetName val="表25(續完)"/>
      <sheetName val="表26"/>
      <sheetName val="表26(續1)"/>
      <sheetName val="表26(續完)"/>
      <sheetName val="表27"/>
      <sheetName val="表27(續1)"/>
      <sheetName val="表27(續完)"/>
      <sheetName val="表28"/>
      <sheetName val="表28(續1)"/>
      <sheetName val="表28(續完)"/>
      <sheetName val="表29"/>
      <sheetName val="表29(續完)"/>
      <sheetName val="表30"/>
      <sheetName val="表30(續完)"/>
      <sheetName val="表31"/>
      <sheetName val="表31(續1)"/>
      <sheetName val="表31(續完)"/>
      <sheetName val="表32"/>
      <sheetName val="表32(續1)"/>
      <sheetName val="表32(續2)"/>
      <sheetName val="表32(續3)"/>
      <sheetName val="表32(續4)"/>
      <sheetName val="表32(續5)"/>
      <sheetName val="表32(續6)"/>
      <sheetName val="表32(續7)"/>
      <sheetName val="表32(續8)"/>
      <sheetName val="表32(續9)"/>
      <sheetName val="表32(續10)"/>
      <sheetName val="表32(續11)"/>
      <sheetName val="表32(續12)"/>
      <sheetName val="表32(續完)"/>
      <sheetName val="表32(續14)"/>
      <sheetName val="表32(續15)"/>
      <sheetName val="表32(續16)"/>
      <sheetName val="表33"/>
      <sheetName val="表33(續1)"/>
      <sheetName val="表33(續2)"/>
      <sheetName val="表33(續完)"/>
      <sheetName val="表33(續4)"/>
      <sheetName val="表33(續5)"/>
      <sheetName val="表34"/>
      <sheetName val="表34(續1)"/>
      <sheetName val="表34(續完)"/>
      <sheetName val="表34(續3)"/>
      <sheetName val="表35"/>
      <sheetName val="表36"/>
      <sheetName val="表36(續1)"/>
      <sheetName val="表36(續2)"/>
      <sheetName val="表36(續3)"/>
      <sheetName val="表36(續完)"/>
      <sheetName val="表36(續5)"/>
      <sheetName val="表36(續6)"/>
      <sheetName val="表38"/>
      <sheetName val="Sheet2"/>
    </sheetNames>
    <sheetDataSet>
      <sheetData sheetId="0">
        <row r="38">
          <cell r="B38">
            <v>248</v>
          </cell>
          <cell r="C38">
            <v>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4">
      <selection activeCell="M44" sqref="M44"/>
    </sheetView>
  </sheetViews>
  <sheetFormatPr defaultColWidth="9.00390625" defaultRowHeight="16.5"/>
  <sheetData>
    <row r="1" ht="16.5">
      <c r="B1" t="s">
        <v>435</v>
      </c>
    </row>
    <row r="2" spans="1:3" ht="16.5">
      <c r="A2" t="s">
        <v>436</v>
      </c>
      <c r="B2">
        <v>40</v>
      </c>
      <c r="C2">
        <f aca="true" t="shared" si="0" ref="C2:I17">B2+1</f>
        <v>41</v>
      </c>
    </row>
    <row r="3" spans="1:5" ht="16.5">
      <c r="A3" t="s">
        <v>400</v>
      </c>
      <c r="B3">
        <f>C2+1</f>
        <v>42</v>
      </c>
      <c r="C3">
        <f t="shared" si="0"/>
        <v>43</v>
      </c>
      <c r="D3">
        <f>C3+1</f>
        <v>44</v>
      </c>
      <c r="E3">
        <f>D3+1</f>
        <v>45</v>
      </c>
    </row>
    <row r="4" spans="1:3" ht="16.5">
      <c r="A4" t="s">
        <v>401</v>
      </c>
      <c r="B4">
        <f>E3+1</f>
        <v>46</v>
      </c>
      <c r="C4">
        <f t="shared" si="0"/>
        <v>47</v>
      </c>
    </row>
    <row r="5" spans="1:3" ht="16.5">
      <c r="A5" t="s">
        <v>402</v>
      </c>
      <c r="B5">
        <f>C4+1</f>
        <v>48</v>
      </c>
      <c r="C5">
        <f t="shared" si="0"/>
        <v>49</v>
      </c>
    </row>
    <row r="6" spans="1:5" ht="16.5">
      <c r="A6" t="s">
        <v>403</v>
      </c>
      <c r="B6">
        <f>C5+1</f>
        <v>50</v>
      </c>
      <c r="C6">
        <f t="shared" si="0"/>
        <v>51</v>
      </c>
      <c r="D6">
        <f t="shared" si="0"/>
        <v>52</v>
      </c>
      <c r="E6">
        <f t="shared" si="0"/>
        <v>53</v>
      </c>
    </row>
    <row r="7" spans="1:5" ht="16.5">
      <c r="A7" t="s">
        <v>404</v>
      </c>
      <c r="B7">
        <f>E6+1</f>
        <v>54</v>
      </c>
      <c r="C7">
        <f t="shared" si="0"/>
        <v>55</v>
      </c>
      <c r="D7">
        <f t="shared" si="0"/>
        <v>56</v>
      </c>
      <c r="E7">
        <f t="shared" si="0"/>
        <v>57</v>
      </c>
    </row>
    <row r="8" spans="1:5" ht="16.5">
      <c r="A8" t="s">
        <v>405</v>
      </c>
      <c r="B8">
        <f>E7+1</f>
        <v>58</v>
      </c>
      <c r="C8">
        <f t="shared" si="0"/>
        <v>59</v>
      </c>
      <c r="D8">
        <f t="shared" si="0"/>
        <v>60</v>
      </c>
      <c r="E8">
        <f t="shared" si="0"/>
        <v>61</v>
      </c>
    </row>
    <row r="9" spans="1:9" ht="16.5">
      <c r="A9" t="s">
        <v>406</v>
      </c>
      <c r="B9">
        <f>E8+1</f>
        <v>62</v>
      </c>
      <c r="C9">
        <f t="shared" si="0"/>
        <v>63</v>
      </c>
      <c r="D9">
        <f t="shared" si="0"/>
        <v>64</v>
      </c>
      <c r="E9">
        <f t="shared" si="0"/>
        <v>65</v>
      </c>
      <c r="F9">
        <f>E9+1</f>
        <v>66</v>
      </c>
      <c r="G9">
        <f>F9+1</f>
        <v>67</v>
      </c>
      <c r="H9">
        <f>G9+1</f>
        <v>68</v>
      </c>
      <c r="I9">
        <f>H9+1</f>
        <v>69</v>
      </c>
    </row>
    <row r="10" spans="1:5" ht="16.5">
      <c r="A10" t="s">
        <v>407</v>
      </c>
      <c r="B10">
        <f>I9+1</f>
        <v>70</v>
      </c>
      <c r="C10">
        <f t="shared" si="0"/>
        <v>71</v>
      </c>
      <c r="D10">
        <f t="shared" si="0"/>
        <v>72</v>
      </c>
      <c r="E10">
        <f t="shared" si="0"/>
        <v>73</v>
      </c>
    </row>
    <row r="11" spans="1:5" ht="16.5">
      <c r="A11" t="s">
        <v>408</v>
      </c>
      <c r="B11">
        <f>E10+1</f>
        <v>74</v>
      </c>
      <c r="C11">
        <f t="shared" si="0"/>
        <v>75</v>
      </c>
      <c r="D11">
        <f t="shared" si="0"/>
        <v>76</v>
      </c>
      <c r="E11">
        <f t="shared" si="0"/>
        <v>77</v>
      </c>
    </row>
    <row r="12" spans="1:9" ht="16.5">
      <c r="A12" t="s">
        <v>409</v>
      </c>
      <c r="B12">
        <f>E11+1</f>
        <v>78</v>
      </c>
      <c r="C12">
        <f t="shared" si="0"/>
        <v>79</v>
      </c>
      <c r="D12">
        <f t="shared" si="0"/>
        <v>80</v>
      </c>
      <c r="E12">
        <f t="shared" si="0"/>
        <v>81</v>
      </c>
      <c r="F12">
        <f t="shared" si="0"/>
        <v>82</v>
      </c>
      <c r="G12">
        <f t="shared" si="0"/>
        <v>83</v>
      </c>
      <c r="H12">
        <f t="shared" si="0"/>
        <v>84</v>
      </c>
      <c r="I12">
        <f t="shared" si="0"/>
        <v>85</v>
      </c>
    </row>
    <row r="13" spans="1:9" ht="16.5">
      <c r="A13" t="s">
        <v>410</v>
      </c>
      <c r="B13">
        <f>I12+1</f>
        <v>86</v>
      </c>
      <c r="C13">
        <f t="shared" si="0"/>
        <v>87</v>
      </c>
      <c r="D13">
        <f t="shared" si="0"/>
        <v>88</v>
      </c>
      <c r="E13">
        <f t="shared" si="0"/>
        <v>89</v>
      </c>
      <c r="F13">
        <f t="shared" si="0"/>
        <v>90</v>
      </c>
      <c r="G13">
        <f t="shared" si="0"/>
        <v>91</v>
      </c>
      <c r="H13">
        <f t="shared" si="0"/>
        <v>92</v>
      </c>
      <c r="I13">
        <f t="shared" si="0"/>
        <v>93</v>
      </c>
    </row>
    <row r="14" spans="1:9" ht="16.5">
      <c r="A14" t="s">
        <v>411</v>
      </c>
      <c r="B14">
        <f>I13+1</f>
        <v>94</v>
      </c>
      <c r="C14">
        <f t="shared" si="0"/>
        <v>95</v>
      </c>
      <c r="D14">
        <f t="shared" si="0"/>
        <v>96</v>
      </c>
      <c r="E14">
        <f t="shared" si="0"/>
        <v>97</v>
      </c>
      <c r="F14">
        <f t="shared" si="0"/>
        <v>98</v>
      </c>
      <c r="G14">
        <f t="shared" si="0"/>
        <v>99</v>
      </c>
      <c r="H14">
        <f t="shared" si="0"/>
        <v>100</v>
      </c>
      <c r="I14">
        <f t="shared" si="0"/>
        <v>101</v>
      </c>
    </row>
    <row r="15" spans="1:7" ht="16.5">
      <c r="A15" t="s">
        <v>412</v>
      </c>
      <c r="B15">
        <f>I14+1</f>
        <v>102</v>
      </c>
      <c r="C15">
        <f t="shared" si="0"/>
        <v>103</v>
      </c>
      <c r="D15">
        <f t="shared" si="0"/>
        <v>104</v>
      </c>
      <c r="E15">
        <f t="shared" si="0"/>
        <v>105</v>
      </c>
      <c r="F15">
        <f t="shared" si="0"/>
        <v>106</v>
      </c>
      <c r="G15">
        <f t="shared" si="0"/>
        <v>107</v>
      </c>
    </row>
    <row r="16" spans="1:7" ht="16.5">
      <c r="A16" t="s">
        <v>437</v>
      </c>
      <c r="B16">
        <f>G15+1</f>
        <v>108</v>
      </c>
      <c r="C16">
        <f t="shared" si="0"/>
        <v>109</v>
      </c>
      <c r="D16">
        <f t="shared" si="0"/>
        <v>110</v>
      </c>
      <c r="E16">
        <f t="shared" si="0"/>
        <v>111</v>
      </c>
      <c r="F16">
        <f t="shared" si="0"/>
        <v>112</v>
      </c>
      <c r="G16">
        <f t="shared" si="0"/>
        <v>113</v>
      </c>
    </row>
    <row r="17" spans="1:7" ht="16.5">
      <c r="A17" t="s">
        <v>438</v>
      </c>
      <c r="B17">
        <f>E16+1</f>
        <v>112</v>
      </c>
      <c r="C17">
        <f t="shared" si="0"/>
        <v>113</v>
      </c>
      <c r="D17">
        <f t="shared" si="0"/>
        <v>114</v>
      </c>
      <c r="E17">
        <f t="shared" si="0"/>
        <v>115</v>
      </c>
      <c r="F17">
        <f>E17+1</f>
        <v>116</v>
      </c>
      <c r="G17">
        <f>F17+1</f>
        <v>117</v>
      </c>
    </row>
    <row r="18" spans="1:7" ht="16.5">
      <c r="A18" t="s">
        <v>413</v>
      </c>
      <c r="B18">
        <f>G17+1</f>
        <v>118</v>
      </c>
      <c r="C18">
        <f aca="true" t="shared" si="1" ref="C18:M20">B18+1</f>
        <v>119</v>
      </c>
      <c r="D18">
        <f t="shared" si="1"/>
        <v>120</v>
      </c>
      <c r="E18">
        <f t="shared" si="1"/>
        <v>121</v>
      </c>
      <c r="F18">
        <f>E18+1</f>
        <v>122</v>
      </c>
      <c r="G18">
        <f>F18+1</f>
        <v>123</v>
      </c>
    </row>
    <row r="19" spans="1:5" ht="16.5">
      <c r="A19" t="s">
        <v>414</v>
      </c>
      <c r="B19">
        <f>G18+1</f>
        <v>124</v>
      </c>
      <c r="C19">
        <f t="shared" si="1"/>
        <v>125</v>
      </c>
      <c r="D19">
        <f t="shared" si="1"/>
        <v>126</v>
      </c>
      <c r="E19">
        <f t="shared" si="1"/>
        <v>127</v>
      </c>
    </row>
    <row r="20" spans="1:13" ht="16.5">
      <c r="A20" t="s">
        <v>415</v>
      </c>
      <c r="B20">
        <f>E19+1</f>
        <v>128</v>
      </c>
      <c r="C20">
        <f t="shared" si="1"/>
        <v>129</v>
      </c>
      <c r="D20">
        <f t="shared" si="1"/>
        <v>130</v>
      </c>
      <c r="E20">
        <f t="shared" si="1"/>
        <v>131</v>
      </c>
      <c r="F20">
        <f t="shared" si="1"/>
        <v>132</v>
      </c>
      <c r="G20">
        <f t="shared" si="1"/>
        <v>133</v>
      </c>
      <c r="H20">
        <f t="shared" si="1"/>
        <v>134</v>
      </c>
      <c r="I20">
        <f t="shared" si="1"/>
        <v>135</v>
      </c>
      <c r="J20">
        <f t="shared" si="1"/>
        <v>136</v>
      </c>
      <c r="K20">
        <f t="shared" si="1"/>
        <v>137</v>
      </c>
      <c r="L20">
        <f t="shared" si="1"/>
        <v>138</v>
      </c>
      <c r="M20">
        <f t="shared" si="1"/>
        <v>139</v>
      </c>
    </row>
    <row r="21" spans="1:2" ht="16.5">
      <c r="A21" t="s">
        <v>416</v>
      </c>
      <c r="B21">
        <v>144</v>
      </c>
    </row>
    <row r="22" spans="1:2" ht="16.5">
      <c r="A22" t="s">
        <v>417</v>
      </c>
      <c r="B22">
        <f>B21+1</f>
        <v>145</v>
      </c>
    </row>
    <row r="23" spans="1:2" ht="16.5">
      <c r="A23" t="s">
        <v>418</v>
      </c>
      <c r="B23">
        <f>B22+1</f>
        <v>146</v>
      </c>
    </row>
    <row r="24" spans="1:2" ht="16.5">
      <c r="A24" t="s">
        <v>419</v>
      </c>
      <c r="B24">
        <f>B23+1</f>
        <v>147</v>
      </c>
    </row>
    <row r="25" spans="1:9" ht="16.5">
      <c r="A25" t="s">
        <v>420</v>
      </c>
      <c r="B25">
        <f>B24+1</f>
        <v>148</v>
      </c>
      <c r="C25">
        <f aca="true" t="shared" si="2" ref="C25:I25">B25+1</f>
        <v>149</v>
      </c>
      <c r="D25">
        <f t="shared" si="2"/>
        <v>150</v>
      </c>
      <c r="E25">
        <f t="shared" si="2"/>
        <v>151</v>
      </c>
      <c r="F25">
        <f t="shared" si="2"/>
        <v>152</v>
      </c>
      <c r="G25">
        <f t="shared" si="2"/>
        <v>153</v>
      </c>
      <c r="H25">
        <f t="shared" si="2"/>
        <v>154</v>
      </c>
      <c r="I25">
        <f t="shared" si="2"/>
        <v>155</v>
      </c>
    </row>
    <row r="26" spans="1:7" ht="16.5">
      <c r="A26" t="s">
        <v>421</v>
      </c>
      <c r="B26">
        <f>I25+1</f>
        <v>156</v>
      </c>
      <c r="C26">
        <f aca="true" t="shared" si="3" ref="C26:G29">B26+1</f>
        <v>157</v>
      </c>
      <c r="D26">
        <f t="shared" si="3"/>
        <v>158</v>
      </c>
      <c r="E26">
        <f t="shared" si="3"/>
        <v>159</v>
      </c>
      <c r="F26">
        <f t="shared" si="3"/>
        <v>160</v>
      </c>
      <c r="G26">
        <f t="shared" si="3"/>
        <v>161</v>
      </c>
    </row>
    <row r="27" spans="1:7" ht="16.5">
      <c r="A27" t="s">
        <v>422</v>
      </c>
      <c r="B27">
        <f>G26+1</f>
        <v>162</v>
      </c>
      <c r="C27">
        <f t="shared" si="3"/>
        <v>163</v>
      </c>
      <c r="D27">
        <f t="shared" si="3"/>
        <v>164</v>
      </c>
      <c r="E27">
        <f t="shared" si="3"/>
        <v>165</v>
      </c>
      <c r="F27">
        <f t="shared" si="3"/>
        <v>166</v>
      </c>
      <c r="G27">
        <f t="shared" si="3"/>
        <v>167</v>
      </c>
    </row>
    <row r="28" spans="1:7" ht="16.5">
      <c r="A28" t="s">
        <v>423</v>
      </c>
      <c r="B28">
        <f>G27+1</f>
        <v>168</v>
      </c>
      <c r="C28">
        <f t="shared" si="3"/>
        <v>169</v>
      </c>
      <c r="D28">
        <f t="shared" si="3"/>
        <v>170</v>
      </c>
      <c r="E28">
        <f t="shared" si="3"/>
        <v>171</v>
      </c>
      <c r="F28">
        <f t="shared" si="3"/>
        <v>172</v>
      </c>
      <c r="G28">
        <f t="shared" si="3"/>
        <v>173</v>
      </c>
    </row>
    <row r="29" spans="1:7" ht="16.5">
      <c r="A29" t="s">
        <v>424</v>
      </c>
      <c r="B29">
        <f>G28+1</f>
        <v>174</v>
      </c>
      <c r="C29">
        <f t="shared" si="3"/>
        <v>175</v>
      </c>
      <c r="D29">
        <f t="shared" si="3"/>
        <v>176</v>
      </c>
      <c r="E29">
        <f t="shared" si="3"/>
        <v>177</v>
      </c>
      <c r="F29">
        <f t="shared" si="3"/>
        <v>178</v>
      </c>
      <c r="G29">
        <f t="shared" si="3"/>
        <v>179</v>
      </c>
    </row>
    <row r="30" spans="1:5" ht="16.5">
      <c r="A30" t="s">
        <v>425</v>
      </c>
      <c r="B30">
        <f>G29+1</f>
        <v>180</v>
      </c>
      <c r="C30">
        <f aca="true" t="shared" si="4" ref="C30:E35">B30+1</f>
        <v>181</v>
      </c>
      <c r="D30">
        <f t="shared" si="4"/>
        <v>182</v>
      </c>
      <c r="E30">
        <f t="shared" si="4"/>
        <v>183</v>
      </c>
    </row>
    <row r="31" spans="1:5" ht="16.5">
      <c r="A31" t="s">
        <v>426</v>
      </c>
      <c r="B31">
        <f>E30+1</f>
        <v>184</v>
      </c>
      <c r="C31">
        <f t="shared" si="4"/>
        <v>185</v>
      </c>
      <c r="D31">
        <f t="shared" si="4"/>
        <v>186</v>
      </c>
      <c r="E31">
        <f t="shared" si="4"/>
        <v>187</v>
      </c>
    </row>
    <row r="32" spans="1:7" ht="16.5">
      <c r="A32" t="s">
        <v>427</v>
      </c>
      <c r="B32">
        <f>E31+1</f>
        <v>188</v>
      </c>
      <c r="C32">
        <f t="shared" si="4"/>
        <v>189</v>
      </c>
      <c r="D32">
        <f t="shared" si="4"/>
        <v>190</v>
      </c>
      <c r="E32">
        <f t="shared" si="4"/>
        <v>191</v>
      </c>
      <c r="F32">
        <f aca="true" t="shared" si="5" ref="F32:G35">E32+1</f>
        <v>192</v>
      </c>
      <c r="G32">
        <f t="shared" si="5"/>
        <v>193</v>
      </c>
    </row>
    <row r="33" spans="1:29" ht="16.5">
      <c r="A33" t="s">
        <v>428</v>
      </c>
      <c r="B33">
        <f>G32+1</f>
        <v>194</v>
      </c>
      <c r="C33">
        <f t="shared" si="4"/>
        <v>195</v>
      </c>
      <c r="D33">
        <f t="shared" si="4"/>
        <v>196</v>
      </c>
      <c r="E33">
        <f t="shared" si="4"/>
        <v>197</v>
      </c>
      <c r="F33">
        <f t="shared" si="5"/>
        <v>198</v>
      </c>
      <c r="G33">
        <f t="shared" si="5"/>
        <v>199</v>
      </c>
      <c r="H33">
        <f aca="true" t="shared" si="6" ref="H33:AC33">G33+1</f>
        <v>200</v>
      </c>
      <c r="I33">
        <f t="shared" si="6"/>
        <v>201</v>
      </c>
      <c r="J33">
        <f t="shared" si="6"/>
        <v>202</v>
      </c>
      <c r="K33">
        <f t="shared" si="6"/>
        <v>203</v>
      </c>
      <c r="L33">
        <f t="shared" si="6"/>
        <v>204</v>
      </c>
      <c r="M33">
        <f t="shared" si="6"/>
        <v>205</v>
      </c>
      <c r="N33">
        <f t="shared" si="6"/>
        <v>206</v>
      </c>
      <c r="O33">
        <f t="shared" si="6"/>
        <v>207</v>
      </c>
      <c r="P33">
        <f t="shared" si="6"/>
        <v>208</v>
      </c>
      <c r="Q33">
        <f t="shared" si="6"/>
        <v>209</v>
      </c>
      <c r="R33">
        <f t="shared" si="6"/>
        <v>210</v>
      </c>
      <c r="S33">
        <f t="shared" si="6"/>
        <v>211</v>
      </c>
      <c r="T33">
        <f t="shared" si="6"/>
        <v>212</v>
      </c>
      <c r="U33">
        <f t="shared" si="6"/>
        <v>213</v>
      </c>
      <c r="V33">
        <f t="shared" si="6"/>
        <v>214</v>
      </c>
      <c r="W33">
        <f t="shared" si="6"/>
        <v>215</v>
      </c>
      <c r="X33">
        <f t="shared" si="6"/>
        <v>216</v>
      </c>
      <c r="Y33">
        <f t="shared" si="6"/>
        <v>217</v>
      </c>
      <c r="Z33">
        <f t="shared" si="6"/>
        <v>218</v>
      </c>
      <c r="AA33">
        <f t="shared" si="6"/>
        <v>219</v>
      </c>
      <c r="AB33">
        <f t="shared" si="6"/>
        <v>220</v>
      </c>
      <c r="AC33">
        <f t="shared" si="6"/>
        <v>221</v>
      </c>
    </row>
    <row r="34" spans="1:9" ht="16.5">
      <c r="A34" t="s">
        <v>429</v>
      </c>
      <c r="B34">
        <f>AC33+1</f>
        <v>222</v>
      </c>
      <c r="C34">
        <f t="shared" si="4"/>
        <v>223</v>
      </c>
      <c r="D34">
        <f t="shared" si="4"/>
        <v>224</v>
      </c>
      <c r="E34">
        <f t="shared" si="4"/>
        <v>225</v>
      </c>
      <c r="F34">
        <f t="shared" si="5"/>
        <v>226</v>
      </c>
      <c r="G34">
        <f t="shared" si="5"/>
        <v>227</v>
      </c>
      <c r="H34">
        <f>G34+1</f>
        <v>228</v>
      </c>
      <c r="I34">
        <f>H34+1</f>
        <v>229</v>
      </c>
    </row>
    <row r="35" spans="1:7" ht="16.5">
      <c r="A35" t="s">
        <v>430</v>
      </c>
      <c r="B35">
        <f>I34+1</f>
        <v>230</v>
      </c>
      <c r="C35">
        <f t="shared" si="4"/>
        <v>231</v>
      </c>
      <c r="D35">
        <f t="shared" si="4"/>
        <v>232</v>
      </c>
      <c r="E35">
        <f t="shared" si="4"/>
        <v>233</v>
      </c>
      <c r="F35">
        <f t="shared" si="5"/>
        <v>234</v>
      </c>
      <c r="G35">
        <f t="shared" si="5"/>
        <v>235</v>
      </c>
    </row>
    <row r="36" spans="1:3" ht="16.5">
      <c r="A36" t="s">
        <v>431</v>
      </c>
      <c r="B36">
        <f>G35+1</f>
        <v>236</v>
      </c>
      <c r="C36">
        <f>B36+1</f>
        <v>237</v>
      </c>
    </row>
    <row r="37" spans="1:11" ht="16.5">
      <c r="A37" t="s">
        <v>432</v>
      </c>
      <c r="B37">
        <f>C36+1</f>
        <v>238</v>
      </c>
      <c r="C37">
        <f>B37+1</f>
        <v>239</v>
      </c>
      <c r="D37">
        <f>C37+1</f>
        <v>240</v>
      </c>
      <c r="E37">
        <f aca="true" t="shared" si="7" ref="E37:K37">D37+1</f>
        <v>241</v>
      </c>
      <c r="F37">
        <f t="shared" si="7"/>
        <v>242</v>
      </c>
      <c r="G37">
        <f t="shared" si="7"/>
        <v>243</v>
      </c>
      <c r="H37">
        <f t="shared" si="7"/>
        <v>244</v>
      </c>
      <c r="I37">
        <f t="shared" si="7"/>
        <v>245</v>
      </c>
      <c r="J37">
        <f t="shared" si="7"/>
        <v>246</v>
      </c>
      <c r="K37">
        <f t="shared" si="7"/>
        <v>247</v>
      </c>
    </row>
    <row r="38" spans="1:3" ht="16.5">
      <c r="A38" t="s">
        <v>433</v>
      </c>
      <c r="B38">
        <f>K37+1</f>
        <v>248</v>
      </c>
      <c r="C38">
        <f>B38+1</f>
        <v>249</v>
      </c>
    </row>
    <row r="39" spans="1:3" ht="16.5">
      <c r="A39" t="s">
        <v>434</v>
      </c>
      <c r="B39">
        <f>C38+1</f>
        <v>250</v>
      </c>
      <c r="C39">
        <f>B39+1</f>
        <v>251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view="pageLayout" zoomScaleSheetLayoutView="85" workbookViewId="0" topLeftCell="A19">
      <selection activeCell="A35" sqref="A35:E35"/>
    </sheetView>
  </sheetViews>
  <sheetFormatPr defaultColWidth="9.00390625" defaultRowHeight="16.5"/>
  <cols>
    <col min="1" max="1" width="38.50390625" style="79" customWidth="1"/>
    <col min="2" max="2" width="11.125" style="79" customWidth="1"/>
    <col min="3" max="3" width="12.50390625" style="79" customWidth="1"/>
    <col min="4" max="4" width="11.625" style="79" customWidth="1"/>
    <col min="5" max="6" width="13.125" style="79" customWidth="1"/>
    <col min="7" max="11" width="11.625" style="79" customWidth="1"/>
    <col min="12" max="12" width="11.625" style="83" customWidth="1"/>
    <col min="13" max="16384" width="9.00390625" style="79" customWidth="1"/>
  </cols>
  <sheetData>
    <row r="1" spans="1:12" s="80" customFormat="1" ht="26.25" customHeight="1">
      <c r="A1" s="459" t="s">
        <v>871</v>
      </c>
      <c r="B1" s="459"/>
      <c r="C1" s="459"/>
      <c r="D1" s="459"/>
      <c r="E1" s="459"/>
      <c r="F1" s="459" t="s">
        <v>197</v>
      </c>
      <c r="G1" s="463"/>
      <c r="H1" s="463"/>
      <c r="I1" s="463"/>
      <c r="J1" s="463"/>
      <c r="K1" s="463"/>
      <c r="L1" s="463"/>
    </row>
    <row r="2" spans="1:12" ht="9" customHeight="1">
      <c r="A2" s="11"/>
      <c r="B2" s="34"/>
      <c r="C2" s="34"/>
      <c r="D2" s="34"/>
      <c r="E2" s="156"/>
      <c r="F2" s="112"/>
      <c r="G2" s="34"/>
      <c r="H2" s="34"/>
      <c r="I2" s="11"/>
      <c r="J2" s="11"/>
      <c r="K2" s="11"/>
      <c r="L2" s="30"/>
    </row>
    <row r="3" spans="1:12" s="75" customFormat="1" ht="15" customHeight="1">
      <c r="A3" s="474" t="s">
        <v>831</v>
      </c>
      <c r="B3" s="475"/>
      <c r="C3" s="475"/>
      <c r="D3" s="475"/>
      <c r="E3" s="47" t="s">
        <v>446</v>
      </c>
      <c r="F3" s="21"/>
      <c r="G3" s="476" t="s">
        <v>832</v>
      </c>
      <c r="H3" s="476"/>
      <c r="I3" s="476"/>
      <c r="J3" s="476"/>
      <c r="K3" s="476"/>
      <c r="L3" s="21" t="s">
        <v>691</v>
      </c>
    </row>
    <row r="4" spans="1:12" s="40" customFormat="1" ht="36.75" customHeight="1">
      <c r="A4" s="125" t="s">
        <v>872</v>
      </c>
      <c r="B4" s="125" t="s">
        <v>873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2" ht="15.75">
      <c r="A5" s="142" t="s">
        <v>874</v>
      </c>
      <c r="B5" s="49">
        <f>SUM(B6,B10,'表25(續完)'!B5,'表25(續完)'!B12,'表25(續完)'!B17,'表25(續完)'!B19)</f>
        <v>142556</v>
      </c>
      <c r="C5" s="49">
        <f>SUM(C6,C10,'表25(續完)'!C5,'表25(續完)'!C12,'表25(續完)'!C17,'表25(續完)'!C19)</f>
        <v>13831</v>
      </c>
      <c r="D5" s="49">
        <f>SUM(D6,D10,'表25(續完)'!D5,'表25(續完)'!D12,'表25(續完)'!D17,'表25(續完)'!D19)</f>
        <v>11529</v>
      </c>
      <c r="E5" s="49">
        <f>SUM(E6,E10,'表25(續完)'!E5,'表25(續完)'!E12,'表25(續完)'!E17,'表25(續完)'!E19)</f>
        <v>12530</v>
      </c>
      <c r="F5" s="49">
        <f>SUM(F6,F10,'表25(續完)'!F5,'表25(續完)'!F12,'表25(續完)'!F17,'表25(續完)'!F19)</f>
        <v>12642</v>
      </c>
      <c r="G5" s="49">
        <f>SUM(G6,G10,'表25(續完)'!G5,'表25(續完)'!G12,'表25(續完)'!G17,'表25(續完)'!G19)</f>
        <v>12609</v>
      </c>
      <c r="H5" s="49">
        <f>SUM(H6,H10,'表25(續完)'!H5,'表25(續完)'!H12,'表25(續完)'!H17,'表25(續完)'!H19)</f>
        <v>15195</v>
      </c>
      <c r="I5" s="49">
        <f>SUM(I6,I10,'表25(續完)'!I5,'表25(續完)'!I12,'表25(續完)'!I17,'表25(續完)'!I19)</f>
        <v>17182</v>
      </c>
      <c r="J5" s="49">
        <f>SUM(J6,J10,'表25(續完)'!J5,'表25(續完)'!J12,'表25(續完)'!J17,'表25(續完)'!J19)</f>
        <v>16398</v>
      </c>
      <c r="K5" s="49">
        <f>SUM(K6,K10,'表25(續完)'!K5,'表25(續完)'!K12,'表25(續完)'!K17,'表25(續完)'!K19)</f>
        <v>15714</v>
      </c>
      <c r="L5" s="49">
        <f>SUM(L6,L10,'表25(續完)'!L5,'表25(續完)'!L12,'表25(續完)'!L17,'表25(續完)'!L19)</f>
        <v>14926</v>
      </c>
    </row>
    <row r="6" spans="1:12" ht="52.5">
      <c r="A6" s="178" t="s">
        <v>875</v>
      </c>
      <c r="B6" s="250">
        <f>SUM(C6:L6)</f>
        <v>25721</v>
      </c>
      <c r="C6" s="250">
        <f>SUM(C7:C9)</f>
        <v>2828</v>
      </c>
      <c r="D6" s="250">
        <f aca="true" t="shared" si="0" ref="D6:L6">SUM(D7:D9)</f>
        <v>1402</v>
      </c>
      <c r="E6" s="250">
        <f t="shared" si="0"/>
        <v>1708</v>
      </c>
      <c r="F6" s="250">
        <f t="shared" si="0"/>
        <v>2050</v>
      </c>
      <c r="G6" s="250">
        <f t="shared" si="0"/>
        <v>2128</v>
      </c>
      <c r="H6" s="250">
        <f t="shared" si="0"/>
        <v>2254</v>
      </c>
      <c r="I6" s="250">
        <f t="shared" si="0"/>
        <v>3095</v>
      </c>
      <c r="J6" s="250">
        <f t="shared" si="0"/>
        <v>3681</v>
      </c>
      <c r="K6" s="250">
        <f t="shared" si="0"/>
        <v>3331</v>
      </c>
      <c r="L6" s="250">
        <f t="shared" si="0"/>
        <v>3244</v>
      </c>
    </row>
    <row r="7" spans="1:12" ht="15.75">
      <c r="A7" s="175" t="s">
        <v>631</v>
      </c>
      <c r="B7" s="49">
        <f>SUM(C7:L7)</f>
        <v>15421</v>
      </c>
      <c r="C7" s="49">
        <v>1276</v>
      </c>
      <c r="D7" s="49">
        <v>633</v>
      </c>
      <c r="E7" s="49">
        <v>1011</v>
      </c>
      <c r="F7" s="49">
        <v>1321</v>
      </c>
      <c r="G7" s="49">
        <v>1205</v>
      </c>
      <c r="H7" s="49">
        <v>1483</v>
      </c>
      <c r="I7" s="49">
        <v>1994</v>
      </c>
      <c r="J7" s="49">
        <v>2281</v>
      </c>
      <c r="K7" s="49">
        <v>2133</v>
      </c>
      <c r="L7" s="49">
        <v>2084</v>
      </c>
    </row>
    <row r="8" spans="1:12" ht="15.75">
      <c r="A8" s="175" t="s">
        <v>632</v>
      </c>
      <c r="B8" s="49">
        <f aca="true" t="shared" si="1" ref="B8:B20">SUM(C8:L8)</f>
        <v>6116</v>
      </c>
      <c r="C8" s="49">
        <v>933</v>
      </c>
      <c r="D8" s="49">
        <v>486</v>
      </c>
      <c r="E8" s="49">
        <v>370</v>
      </c>
      <c r="F8" s="49">
        <v>453</v>
      </c>
      <c r="G8" s="49">
        <v>442</v>
      </c>
      <c r="H8" s="49">
        <v>388</v>
      </c>
      <c r="I8" s="49">
        <v>690</v>
      </c>
      <c r="J8" s="49">
        <v>887</v>
      </c>
      <c r="K8" s="49">
        <v>727</v>
      </c>
      <c r="L8" s="49">
        <v>740</v>
      </c>
    </row>
    <row r="9" spans="1:12" ht="15.75">
      <c r="A9" s="175" t="s">
        <v>844</v>
      </c>
      <c r="B9" s="49">
        <f t="shared" si="1"/>
        <v>4184</v>
      </c>
      <c r="C9" s="49">
        <v>619</v>
      </c>
      <c r="D9" s="49">
        <v>283</v>
      </c>
      <c r="E9" s="49">
        <v>327</v>
      </c>
      <c r="F9" s="49">
        <v>276</v>
      </c>
      <c r="G9" s="49">
        <v>481</v>
      </c>
      <c r="H9" s="49">
        <v>383</v>
      </c>
      <c r="I9" s="49">
        <v>411</v>
      </c>
      <c r="J9" s="49">
        <v>513</v>
      </c>
      <c r="K9" s="49">
        <v>471</v>
      </c>
      <c r="L9" s="49">
        <v>420</v>
      </c>
    </row>
    <row r="10" spans="1:12" ht="39.75">
      <c r="A10" s="178" t="s">
        <v>845</v>
      </c>
      <c r="B10" s="263">
        <f>SUM(C10:L10)</f>
        <v>60133</v>
      </c>
      <c r="C10" s="263">
        <f>SUM('表25'!C11:C20)+SUM('表25(續1)'!C5:C22)</f>
        <v>4294</v>
      </c>
      <c r="D10" s="263">
        <f>SUM('表25'!D11:D20)+SUM('表25(續1)'!D5:D22)</f>
        <v>3086</v>
      </c>
      <c r="E10" s="263">
        <f>SUM('表25'!E11:E20)+SUM('表25(續1)'!E5:E22)</f>
        <v>4173</v>
      </c>
      <c r="F10" s="263">
        <f>SUM('表25'!F11:F20)+SUM('表25(續1)'!F5:F22)</f>
        <v>4616</v>
      </c>
      <c r="G10" s="263">
        <f>SUM('表25'!G11:G20)+SUM('表25(續1)'!G5:G22)</f>
        <v>4665</v>
      </c>
      <c r="H10" s="263">
        <f>SUM('表25'!H11:H20)+SUM('表25(續1)'!H5:H22)</f>
        <v>7223</v>
      </c>
      <c r="I10" s="263">
        <f>SUM('表25'!I11:I20)+SUM('表25(續1)'!I5:I22)</f>
        <v>9528</v>
      </c>
      <c r="J10" s="263">
        <f>SUM('表25'!J11:J20)+SUM('表25(續1)'!J5:J22)</f>
        <v>8702</v>
      </c>
      <c r="K10" s="263">
        <f>SUM('表25'!K11:K20)+SUM('表25(續1)'!K5:K22)</f>
        <v>7473</v>
      </c>
      <c r="L10" s="263">
        <f>SUM('表25'!L11:L20)+SUM('表25(續1)'!L5:L22)</f>
        <v>6373</v>
      </c>
    </row>
    <row r="11" spans="1:12" ht="52.5">
      <c r="A11" s="174" t="s">
        <v>29</v>
      </c>
      <c r="B11" s="265">
        <f>SUM(C11:L11)</f>
        <v>1645</v>
      </c>
      <c r="C11" s="49">
        <v>1443</v>
      </c>
      <c r="D11" s="49">
        <v>183</v>
      </c>
      <c r="E11" s="49">
        <v>14</v>
      </c>
      <c r="F11" s="49">
        <v>5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</row>
    <row r="12" spans="1:12" ht="39.75">
      <c r="A12" s="153" t="s">
        <v>30</v>
      </c>
      <c r="B12" s="265">
        <f t="shared" si="1"/>
        <v>234</v>
      </c>
      <c r="C12" s="49">
        <v>27</v>
      </c>
      <c r="D12" s="49">
        <v>197</v>
      </c>
      <c r="E12" s="49">
        <v>5</v>
      </c>
      <c r="F12" s="49">
        <v>5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1:12" ht="39.75">
      <c r="A13" s="153" t="s">
        <v>12</v>
      </c>
      <c r="B13" s="265">
        <f t="shared" si="1"/>
        <v>15636</v>
      </c>
      <c r="C13" s="49">
        <v>0</v>
      </c>
      <c r="D13" s="49">
        <v>0</v>
      </c>
      <c r="E13" s="49">
        <v>2548</v>
      </c>
      <c r="F13" s="49">
        <v>1928</v>
      </c>
      <c r="G13" s="49">
        <v>1249</v>
      </c>
      <c r="H13" s="49">
        <v>1550</v>
      </c>
      <c r="I13" s="49">
        <v>2113</v>
      </c>
      <c r="J13" s="225">
        <v>1975</v>
      </c>
      <c r="K13" s="225">
        <v>2163</v>
      </c>
      <c r="L13" s="225">
        <v>2110</v>
      </c>
    </row>
    <row r="14" spans="1:12" ht="27">
      <c r="A14" s="153" t="s">
        <v>325</v>
      </c>
      <c r="B14" s="265">
        <f t="shared" si="1"/>
        <v>3</v>
      </c>
      <c r="C14" s="49">
        <v>0</v>
      </c>
      <c r="D14" s="225">
        <v>2</v>
      </c>
      <c r="E14" s="225">
        <v>0</v>
      </c>
      <c r="F14" s="225">
        <v>1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</row>
    <row r="15" spans="1:12" ht="27">
      <c r="A15" s="153" t="s">
        <v>324</v>
      </c>
      <c r="B15" s="265">
        <f t="shared" si="1"/>
        <v>10153</v>
      </c>
      <c r="C15" s="225">
        <v>949</v>
      </c>
      <c r="D15" s="225">
        <v>564</v>
      </c>
      <c r="E15" s="225">
        <v>717</v>
      </c>
      <c r="F15" s="225">
        <v>704</v>
      </c>
      <c r="G15" s="225">
        <v>701</v>
      </c>
      <c r="H15" s="225">
        <v>1545</v>
      </c>
      <c r="I15" s="225">
        <v>1324</v>
      </c>
      <c r="J15" s="225">
        <v>1485</v>
      </c>
      <c r="K15" s="225">
        <v>1255</v>
      </c>
      <c r="L15" s="225">
        <v>909</v>
      </c>
    </row>
    <row r="16" spans="1:12" ht="15.75">
      <c r="A16" s="174" t="s">
        <v>90</v>
      </c>
      <c r="B16" s="265">
        <f>SUM(C16:L16)</f>
        <v>22</v>
      </c>
      <c r="C16" s="225">
        <v>22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</row>
    <row r="17" spans="1:12" ht="38.25" customHeight="1">
      <c r="A17" s="226" t="s">
        <v>637</v>
      </c>
      <c r="B17" s="265">
        <f t="shared" si="1"/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12" ht="52.5">
      <c r="A18" s="174" t="s">
        <v>633</v>
      </c>
      <c r="B18" s="265">
        <f t="shared" si="1"/>
        <v>98</v>
      </c>
      <c r="C18" s="225">
        <v>0</v>
      </c>
      <c r="D18" s="225">
        <v>8</v>
      </c>
      <c r="E18" s="225">
        <v>1</v>
      </c>
      <c r="F18" s="225">
        <v>20</v>
      </c>
      <c r="G18" s="225">
        <v>0</v>
      </c>
      <c r="H18" s="225">
        <v>0</v>
      </c>
      <c r="I18" s="225">
        <v>1</v>
      </c>
      <c r="J18" s="225">
        <v>0</v>
      </c>
      <c r="K18" s="225">
        <v>36</v>
      </c>
      <c r="L18" s="126">
        <v>32</v>
      </c>
    </row>
    <row r="19" spans="1:12" ht="52.5">
      <c r="A19" s="174" t="s">
        <v>634</v>
      </c>
      <c r="B19" s="265">
        <f t="shared" si="1"/>
        <v>641</v>
      </c>
      <c r="C19" s="225">
        <v>59</v>
      </c>
      <c r="D19" s="225">
        <v>81</v>
      </c>
      <c r="E19" s="225">
        <v>42</v>
      </c>
      <c r="F19" s="225">
        <v>42</v>
      </c>
      <c r="G19" s="225">
        <v>62</v>
      </c>
      <c r="H19" s="225">
        <v>59</v>
      </c>
      <c r="I19" s="225">
        <v>65</v>
      </c>
      <c r="J19" s="225">
        <v>74</v>
      </c>
      <c r="K19" s="225">
        <v>77</v>
      </c>
      <c r="L19" s="225">
        <v>80</v>
      </c>
    </row>
    <row r="20" spans="1:12" ht="18" customHeight="1">
      <c r="A20" s="338" t="s">
        <v>638</v>
      </c>
      <c r="B20" s="137">
        <f t="shared" si="1"/>
        <v>20940</v>
      </c>
      <c r="C20" s="188">
        <v>1356</v>
      </c>
      <c r="D20" s="188">
        <v>1168</v>
      </c>
      <c r="E20" s="188">
        <v>464</v>
      </c>
      <c r="F20" s="188">
        <v>1421</v>
      </c>
      <c r="G20" s="188">
        <v>1856</v>
      </c>
      <c r="H20" s="188">
        <v>3097</v>
      </c>
      <c r="I20" s="188">
        <v>4052</v>
      </c>
      <c r="J20" s="188">
        <v>3549</v>
      </c>
      <c r="K20" s="188">
        <v>2602</v>
      </c>
      <c r="L20" s="188">
        <v>1375</v>
      </c>
    </row>
    <row r="22" spans="1:12" ht="7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0"/>
    </row>
    <row r="23" spans="1:12" s="82" customFormat="1" ht="11.25" customHeight="1">
      <c r="A23" s="471" t="s">
        <v>161</v>
      </c>
      <c r="B23" s="472"/>
      <c r="C23" s="472"/>
      <c r="D23" s="472"/>
      <c r="E23" s="472"/>
      <c r="F23" s="455" t="s">
        <v>162</v>
      </c>
      <c r="G23" s="455"/>
      <c r="H23" s="455"/>
      <c r="I23" s="455"/>
      <c r="J23" s="455"/>
      <c r="K23" s="455"/>
      <c r="L23" s="455"/>
    </row>
    <row r="24" spans="1:12" s="82" customFormat="1" ht="11.25" customHeight="1">
      <c r="A24" s="477" t="s">
        <v>751</v>
      </c>
      <c r="B24" s="477"/>
      <c r="C24" s="477"/>
      <c r="D24" s="477"/>
      <c r="E24" s="477"/>
      <c r="F24" s="455" t="s">
        <v>693</v>
      </c>
      <c r="G24" s="455"/>
      <c r="H24" s="455"/>
      <c r="I24" s="455"/>
      <c r="J24" s="455"/>
      <c r="K24" s="455"/>
      <c r="L24" s="455"/>
    </row>
    <row r="25" spans="1:12" s="82" customFormat="1" ht="11.25" customHeight="1">
      <c r="A25" s="473"/>
      <c r="B25" s="473"/>
      <c r="C25" s="473"/>
      <c r="D25" s="473"/>
      <c r="E25" s="473"/>
      <c r="F25" s="455" t="s">
        <v>692</v>
      </c>
      <c r="G25" s="455"/>
      <c r="H25" s="455"/>
      <c r="I25" s="455"/>
      <c r="J25" s="455"/>
      <c r="K25" s="455"/>
      <c r="L25" s="455"/>
    </row>
    <row r="26" spans="1:12" s="82" customFormat="1" ht="11.25" customHeight="1">
      <c r="A26" s="172"/>
      <c r="B26" s="172"/>
      <c r="C26" s="172"/>
      <c r="D26" s="172"/>
      <c r="E26" s="172"/>
      <c r="F26" s="455" t="s">
        <v>752</v>
      </c>
      <c r="G26" s="455"/>
      <c r="H26" s="455"/>
      <c r="I26" s="455"/>
      <c r="J26" s="455"/>
      <c r="K26" s="455"/>
      <c r="L26" s="455"/>
    </row>
    <row r="35" spans="1:12" ht="15.75">
      <c r="A35" s="458" t="str">
        <f>"- "&amp;Sheet1!B26&amp;" -"</f>
        <v>- 156 -</v>
      </c>
      <c r="B35" s="458"/>
      <c r="C35" s="458"/>
      <c r="D35" s="458"/>
      <c r="E35" s="458"/>
      <c r="F35" s="458" t="str">
        <f>"- "&amp;Sheet1!C26&amp;" -"</f>
        <v>- 157 -</v>
      </c>
      <c r="G35" s="458"/>
      <c r="H35" s="458"/>
      <c r="I35" s="458"/>
      <c r="J35" s="458"/>
      <c r="K35" s="458"/>
      <c r="L35" s="458"/>
    </row>
    <row r="44" ht="15.75">
      <c r="A44" s="328"/>
    </row>
  </sheetData>
  <sheetProtection/>
  <mergeCells count="13">
    <mergeCell ref="A35:E35"/>
    <mergeCell ref="F35:L35"/>
    <mergeCell ref="F26:L26"/>
    <mergeCell ref="F1:L1"/>
    <mergeCell ref="A23:E23"/>
    <mergeCell ref="A25:E25"/>
    <mergeCell ref="A1:E1"/>
    <mergeCell ref="A3:D3"/>
    <mergeCell ref="G3:K3"/>
    <mergeCell ref="F23:L23"/>
    <mergeCell ref="F25:L25"/>
    <mergeCell ref="A24:E24"/>
    <mergeCell ref="F24:L24"/>
  </mergeCells>
  <printOptions/>
  <pageMargins left="0.7086614173228347" right="0.7086614173228347" top="0.7480314960629921" bottom="0.03125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view="pageLayout" zoomScaleNormal="75" zoomScaleSheetLayoutView="85" workbookViewId="0" topLeftCell="A19">
      <selection activeCell="A32" sqref="A32:E32"/>
    </sheetView>
  </sheetViews>
  <sheetFormatPr defaultColWidth="9.00390625" defaultRowHeight="16.5"/>
  <cols>
    <col min="1" max="1" width="37.375" style="79" customWidth="1"/>
    <col min="2" max="5" width="11.125" style="79" customWidth="1"/>
    <col min="6" max="12" width="11.625" style="79" customWidth="1"/>
    <col min="13" max="16384" width="9.00390625" style="79" customWidth="1"/>
  </cols>
  <sheetData>
    <row r="1" spans="1:12" s="80" customFormat="1" ht="31.5" customHeight="1">
      <c r="A1" s="459" t="s">
        <v>878</v>
      </c>
      <c r="B1" s="459"/>
      <c r="C1" s="459"/>
      <c r="D1" s="459"/>
      <c r="E1" s="459"/>
      <c r="F1" s="459" t="s">
        <v>198</v>
      </c>
      <c r="G1" s="463"/>
      <c r="H1" s="463"/>
      <c r="I1" s="463"/>
      <c r="J1" s="463"/>
      <c r="K1" s="463"/>
      <c r="L1" s="463"/>
    </row>
    <row r="2" spans="1:12" ht="3.75" customHeight="1">
      <c r="A2" s="11"/>
      <c r="B2" s="34"/>
      <c r="C2" s="34"/>
      <c r="D2" s="34"/>
      <c r="E2" s="156"/>
      <c r="F2" s="112"/>
      <c r="G2" s="34"/>
      <c r="H2" s="34"/>
      <c r="I2" s="11"/>
      <c r="J2" s="11"/>
      <c r="K2" s="11"/>
      <c r="L2" s="11"/>
    </row>
    <row r="3" spans="1:12" s="75" customFormat="1" ht="12" customHeight="1">
      <c r="A3" s="474" t="s">
        <v>831</v>
      </c>
      <c r="B3" s="475"/>
      <c r="C3" s="475"/>
      <c r="D3" s="475"/>
      <c r="E3" s="47" t="s">
        <v>446</v>
      </c>
      <c r="F3" s="21"/>
      <c r="G3" s="476" t="s">
        <v>832</v>
      </c>
      <c r="H3" s="476"/>
      <c r="I3" s="476"/>
      <c r="J3" s="476"/>
      <c r="K3" s="476"/>
      <c r="L3" s="21" t="s">
        <v>691</v>
      </c>
    </row>
    <row r="4" spans="1:12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2" s="40" customFormat="1" ht="52.5">
      <c r="A5" s="174" t="s">
        <v>190</v>
      </c>
      <c r="B5" s="251">
        <f>SUM(C5:L5)</f>
        <v>303</v>
      </c>
      <c r="C5" s="58">
        <v>38</v>
      </c>
      <c r="D5" s="58">
        <v>27</v>
      </c>
      <c r="E5" s="58">
        <v>23</v>
      </c>
      <c r="F5" s="58">
        <v>27</v>
      </c>
      <c r="G5" s="58">
        <v>33</v>
      </c>
      <c r="H5" s="58">
        <v>34</v>
      </c>
      <c r="I5" s="58">
        <v>49</v>
      </c>
      <c r="J5" s="58">
        <v>37</v>
      </c>
      <c r="K5" s="58">
        <v>0</v>
      </c>
      <c r="L5" s="58">
        <v>35</v>
      </c>
    </row>
    <row r="6" spans="1:12" ht="52.5">
      <c r="A6" s="174" t="s">
        <v>639</v>
      </c>
      <c r="B6" s="251">
        <f aca="true" t="shared" si="0" ref="B6:B22">SUM(C6:L6)</f>
        <v>202</v>
      </c>
      <c r="C6" s="225">
        <v>34</v>
      </c>
      <c r="D6" s="225">
        <v>0</v>
      </c>
      <c r="E6" s="225">
        <v>0</v>
      </c>
      <c r="F6" s="225">
        <v>19</v>
      </c>
      <c r="G6" s="49">
        <v>0</v>
      </c>
      <c r="H6" s="49">
        <v>0</v>
      </c>
      <c r="I6" s="225">
        <v>89</v>
      </c>
      <c r="J6" s="225">
        <v>59</v>
      </c>
      <c r="K6" s="225">
        <v>1</v>
      </c>
      <c r="L6" s="126">
        <v>0</v>
      </c>
    </row>
    <row r="7" spans="1:12" ht="15.75">
      <c r="A7" s="153" t="s">
        <v>640</v>
      </c>
      <c r="B7" s="251">
        <f t="shared" si="0"/>
        <v>243</v>
      </c>
      <c r="C7" s="225">
        <v>21</v>
      </c>
      <c r="D7" s="225">
        <v>19</v>
      </c>
      <c r="E7" s="49">
        <v>26</v>
      </c>
      <c r="F7" s="49">
        <v>0</v>
      </c>
      <c r="G7" s="225">
        <v>44</v>
      </c>
      <c r="H7" s="225">
        <v>13</v>
      </c>
      <c r="I7" s="225">
        <v>29</v>
      </c>
      <c r="J7" s="225">
        <v>65</v>
      </c>
      <c r="K7" s="225">
        <v>15</v>
      </c>
      <c r="L7" s="225">
        <v>11</v>
      </c>
    </row>
    <row r="8" spans="1:12" ht="27">
      <c r="A8" s="153" t="s">
        <v>641</v>
      </c>
      <c r="B8" s="251">
        <f t="shared" si="0"/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</row>
    <row r="9" spans="1:12" ht="15.75">
      <c r="A9" s="171" t="s">
        <v>642</v>
      </c>
      <c r="B9" s="251">
        <f t="shared" si="0"/>
        <v>1299</v>
      </c>
      <c r="C9" s="49">
        <v>0</v>
      </c>
      <c r="D9" s="49">
        <v>287</v>
      </c>
      <c r="E9" s="49">
        <v>2</v>
      </c>
      <c r="F9" s="49">
        <v>6</v>
      </c>
      <c r="G9" s="49">
        <v>240</v>
      </c>
      <c r="H9" s="49">
        <v>270</v>
      </c>
      <c r="I9" s="49">
        <v>122</v>
      </c>
      <c r="J9" s="49">
        <v>160</v>
      </c>
      <c r="K9" s="49">
        <v>92</v>
      </c>
      <c r="L9" s="49">
        <v>120</v>
      </c>
    </row>
    <row r="10" spans="1:12" ht="15.75">
      <c r="A10" s="153" t="s">
        <v>643</v>
      </c>
      <c r="B10" s="251">
        <f t="shared" si="0"/>
        <v>1692</v>
      </c>
      <c r="C10" s="49">
        <v>133</v>
      </c>
      <c r="D10" s="49">
        <v>29</v>
      </c>
      <c r="E10" s="225">
        <v>1</v>
      </c>
      <c r="F10" s="49">
        <v>66</v>
      </c>
      <c r="G10" s="225">
        <v>186</v>
      </c>
      <c r="H10" s="225">
        <v>219</v>
      </c>
      <c r="I10" s="225">
        <v>396</v>
      </c>
      <c r="J10" s="225">
        <v>239</v>
      </c>
      <c r="K10" s="225">
        <v>230</v>
      </c>
      <c r="L10" s="225">
        <v>193</v>
      </c>
    </row>
    <row r="11" spans="1:12" ht="52.5">
      <c r="A11" s="153" t="s">
        <v>644</v>
      </c>
      <c r="B11" s="251">
        <f t="shared" si="0"/>
        <v>215</v>
      </c>
      <c r="C11" s="49">
        <v>0</v>
      </c>
      <c r="D11" s="49">
        <v>9</v>
      </c>
      <c r="E11" s="49">
        <v>69</v>
      </c>
      <c r="F11" s="225">
        <v>1</v>
      </c>
      <c r="G11" s="225">
        <v>2</v>
      </c>
      <c r="H11" s="225">
        <v>44</v>
      </c>
      <c r="I11" s="225">
        <v>23</v>
      </c>
      <c r="J11" s="225">
        <v>6</v>
      </c>
      <c r="K11" s="225">
        <v>7</v>
      </c>
      <c r="L11" s="225">
        <v>54</v>
      </c>
    </row>
    <row r="12" spans="1:12" ht="27">
      <c r="A12" s="153" t="s">
        <v>645</v>
      </c>
      <c r="B12" s="251">
        <f t="shared" si="0"/>
        <v>67</v>
      </c>
      <c r="C12" s="49">
        <v>18</v>
      </c>
      <c r="D12" s="49">
        <v>0</v>
      </c>
      <c r="E12" s="49">
        <v>0</v>
      </c>
      <c r="F12" s="49">
        <v>10</v>
      </c>
      <c r="G12" s="49">
        <v>2</v>
      </c>
      <c r="H12" s="225">
        <v>10</v>
      </c>
      <c r="I12" s="225">
        <v>0</v>
      </c>
      <c r="J12" s="225">
        <v>18</v>
      </c>
      <c r="K12" s="225">
        <v>0</v>
      </c>
      <c r="L12" s="225">
        <v>9</v>
      </c>
    </row>
    <row r="13" spans="1:12" ht="15.75">
      <c r="A13" s="153" t="s">
        <v>646</v>
      </c>
      <c r="B13" s="251">
        <f t="shared" si="0"/>
        <v>1234</v>
      </c>
      <c r="C13" s="49">
        <v>13</v>
      </c>
      <c r="D13" s="49">
        <v>65</v>
      </c>
      <c r="E13" s="49">
        <v>145</v>
      </c>
      <c r="F13" s="225">
        <v>153</v>
      </c>
      <c r="G13" s="225">
        <v>167</v>
      </c>
      <c r="H13" s="225">
        <v>130</v>
      </c>
      <c r="I13" s="225">
        <v>139</v>
      </c>
      <c r="J13" s="225">
        <v>166</v>
      </c>
      <c r="K13" s="225">
        <v>126</v>
      </c>
      <c r="L13" s="225">
        <v>130</v>
      </c>
    </row>
    <row r="14" spans="1:12" ht="15.75">
      <c r="A14" s="153" t="s">
        <v>648</v>
      </c>
      <c r="B14" s="251">
        <f t="shared" si="0"/>
        <v>1877</v>
      </c>
      <c r="C14" s="225">
        <v>92</v>
      </c>
      <c r="D14" s="225">
        <v>192</v>
      </c>
      <c r="E14" s="225">
        <v>12</v>
      </c>
      <c r="F14" s="225">
        <v>94</v>
      </c>
      <c r="G14" s="49">
        <v>84</v>
      </c>
      <c r="H14" s="225">
        <v>107</v>
      </c>
      <c r="I14" s="225">
        <v>135</v>
      </c>
      <c r="J14" s="225">
        <v>567</v>
      </c>
      <c r="K14" s="225">
        <v>294</v>
      </c>
      <c r="L14" s="225">
        <v>300</v>
      </c>
    </row>
    <row r="15" spans="1:12" ht="39.75">
      <c r="A15" s="153" t="s">
        <v>647</v>
      </c>
      <c r="B15" s="251">
        <f t="shared" si="0"/>
        <v>88</v>
      </c>
      <c r="C15" s="49">
        <v>88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</row>
    <row r="16" spans="1:12" ht="39.75">
      <c r="A16" s="153" t="s">
        <v>649</v>
      </c>
      <c r="B16" s="251">
        <f t="shared" si="0"/>
        <v>319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225">
        <v>103</v>
      </c>
      <c r="J16" s="225">
        <v>214</v>
      </c>
      <c r="K16" s="225">
        <v>2</v>
      </c>
      <c r="L16" s="225">
        <v>0</v>
      </c>
    </row>
    <row r="17" spans="1:12" ht="39.75">
      <c r="A17" s="153" t="s">
        <v>650</v>
      </c>
      <c r="B17" s="251">
        <f t="shared" si="0"/>
        <v>2373</v>
      </c>
      <c r="C17" s="225">
        <v>1</v>
      </c>
      <c r="D17" s="49">
        <v>70</v>
      </c>
      <c r="E17" s="225">
        <v>0</v>
      </c>
      <c r="F17" s="225">
        <v>1</v>
      </c>
      <c r="G17" s="225">
        <v>0</v>
      </c>
      <c r="H17" s="225">
        <v>0</v>
      </c>
      <c r="I17" s="225">
        <v>808</v>
      </c>
      <c r="J17" s="225">
        <v>52</v>
      </c>
      <c r="K17" s="225">
        <v>446</v>
      </c>
      <c r="L17" s="126">
        <v>995</v>
      </c>
    </row>
    <row r="18" spans="1:12" ht="15.75">
      <c r="A18" s="175" t="s">
        <v>651</v>
      </c>
      <c r="B18" s="251">
        <f t="shared" si="0"/>
        <v>483</v>
      </c>
      <c r="C18" s="49">
        <v>0</v>
      </c>
      <c r="D18" s="49">
        <v>185</v>
      </c>
      <c r="E18" s="49">
        <v>0</v>
      </c>
      <c r="F18" s="49">
        <v>109</v>
      </c>
      <c r="G18" s="49">
        <v>2</v>
      </c>
      <c r="H18" s="49">
        <v>34</v>
      </c>
      <c r="I18" s="225">
        <v>57</v>
      </c>
      <c r="J18" s="225">
        <v>36</v>
      </c>
      <c r="K18" s="225">
        <v>41</v>
      </c>
      <c r="L18" s="225">
        <v>19</v>
      </c>
    </row>
    <row r="19" spans="1:12" ht="27">
      <c r="A19" s="153" t="s">
        <v>652</v>
      </c>
      <c r="B19" s="251">
        <f t="shared" si="0"/>
        <v>165</v>
      </c>
      <c r="C19" s="49">
        <v>0</v>
      </c>
      <c r="D19" s="49">
        <v>0</v>
      </c>
      <c r="E19" s="49">
        <v>104</v>
      </c>
      <c r="F19" s="49">
        <v>4</v>
      </c>
      <c r="G19" s="49">
        <v>37</v>
      </c>
      <c r="H19" s="49">
        <v>20</v>
      </c>
      <c r="I19" s="49">
        <v>0</v>
      </c>
      <c r="J19" s="49">
        <v>0</v>
      </c>
      <c r="K19" s="225">
        <v>0</v>
      </c>
      <c r="L19" s="225">
        <v>0</v>
      </c>
    </row>
    <row r="20" spans="1:12" ht="39.75">
      <c r="A20" s="153" t="s">
        <v>653</v>
      </c>
      <c r="B20" s="251">
        <f t="shared" si="0"/>
        <v>47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25</v>
      </c>
      <c r="I20" s="49">
        <v>22</v>
      </c>
      <c r="J20" s="49">
        <v>0</v>
      </c>
      <c r="K20" s="49">
        <v>0</v>
      </c>
      <c r="L20" s="49">
        <v>0</v>
      </c>
    </row>
    <row r="21" spans="1:12" ht="39.75">
      <c r="A21" s="174" t="s">
        <v>654</v>
      </c>
      <c r="B21" s="251">
        <f t="shared" si="0"/>
        <v>68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66</v>
      </c>
      <c r="I21" s="49">
        <v>1</v>
      </c>
      <c r="J21" s="49">
        <v>0</v>
      </c>
      <c r="K21" s="49">
        <v>1</v>
      </c>
      <c r="L21" s="49">
        <v>0</v>
      </c>
    </row>
    <row r="22" spans="1:12" ht="39.75">
      <c r="A22" s="339" t="s">
        <v>771</v>
      </c>
      <c r="B22" s="340">
        <f t="shared" si="0"/>
        <v>86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85</v>
      </c>
      <c r="L22" s="188">
        <v>1</v>
      </c>
    </row>
    <row r="32" spans="1:12" ht="15.75">
      <c r="A32" s="458" t="str">
        <f>"- "&amp;Sheet1!D26&amp;" -"</f>
        <v>- 158 -</v>
      </c>
      <c r="B32" s="458"/>
      <c r="C32" s="458"/>
      <c r="D32" s="458"/>
      <c r="E32" s="458"/>
      <c r="F32" s="458" t="str">
        <f>"- "&amp;Sheet1!E26&amp;" -"</f>
        <v>- 159 -</v>
      </c>
      <c r="G32" s="458"/>
      <c r="H32" s="458"/>
      <c r="I32" s="458"/>
      <c r="J32" s="458"/>
      <c r="K32" s="458"/>
      <c r="L32" s="458"/>
    </row>
    <row r="44" ht="15.75">
      <c r="A44" s="328"/>
    </row>
  </sheetData>
  <sheetProtection/>
  <mergeCells count="6">
    <mergeCell ref="A32:E32"/>
    <mergeCell ref="F32:L32"/>
    <mergeCell ref="F1:L1"/>
    <mergeCell ref="A1:E1"/>
    <mergeCell ref="A3:D3"/>
    <mergeCell ref="G3:K3"/>
  </mergeCells>
  <printOptions/>
  <pageMargins left="0.7086614173228347" right="0.7086614173228347" top="0.7480314960629921" bottom="0.01041666666666666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view="pageLayout" zoomScale="85" zoomScaleNormal="85" zoomScaleSheetLayoutView="85" zoomScalePageLayoutView="85" workbookViewId="0" topLeftCell="A18">
      <selection activeCell="F37" sqref="F37:L37"/>
    </sheetView>
  </sheetViews>
  <sheetFormatPr defaultColWidth="9.00390625" defaultRowHeight="16.5"/>
  <cols>
    <col min="1" max="1" width="37.375" style="79" customWidth="1"/>
    <col min="2" max="5" width="11.125" style="79" customWidth="1"/>
    <col min="6" max="12" width="11.625" style="79" customWidth="1"/>
    <col min="13" max="16384" width="9.00390625" style="79" customWidth="1"/>
  </cols>
  <sheetData>
    <row r="1" spans="1:12" s="80" customFormat="1" ht="21.75" customHeight="1">
      <c r="A1" s="459" t="s">
        <v>292</v>
      </c>
      <c r="B1" s="459"/>
      <c r="C1" s="459"/>
      <c r="D1" s="459"/>
      <c r="E1" s="459"/>
      <c r="F1" s="459" t="s">
        <v>293</v>
      </c>
      <c r="G1" s="463"/>
      <c r="H1" s="463"/>
      <c r="I1" s="463"/>
      <c r="J1" s="463"/>
      <c r="K1" s="463"/>
      <c r="L1" s="463"/>
    </row>
    <row r="2" spans="1:12" ht="10.5" customHeight="1">
      <c r="A2" s="11"/>
      <c r="B2" s="34"/>
      <c r="C2" s="34"/>
      <c r="D2" s="34"/>
      <c r="E2" s="156"/>
      <c r="F2" s="112"/>
      <c r="G2" s="34"/>
      <c r="H2" s="34"/>
      <c r="I2" s="11"/>
      <c r="J2" s="11"/>
      <c r="K2" s="11"/>
      <c r="L2" s="11"/>
    </row>
    <row r="3" spans="1:12" s="75" customFormat="1" ht="12" customHeight="1">
      <c r="A3" s="474" t="s">
        <v>831</v>
      </c>
      <c r="B3" s="475"/>
      <c r="C3" s="475"/>
      <c r="D3" s="475"/>
      <c r="E3" s="47" t="s">
        <v>446</v>
      </c>
      <c r="G3" s="476" t="s">
        <v>833</v>
      </c>
      <c r="H3" s="476"/>
      <c r="I3" s="476"/>
      <c r="J3" s="476"/>
      <c r="K3" s="476"/>
      <c r="L3" s="67" t="s">
        <v>691</v>
      </c>
    </row>
    <row r="4" spans="1:12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2" ht="27">
      <c r="A5" s="176" t="s">
        <v>655</v>
      </c>
      <c r="B5" s="264">
        <f aca="true" t="shared" si="0" ref="B5:K5">SUM(B6:B10)</f>
        <v>51259</v>
      </c>
      <c r="C5" s="264">
        <f t="shared" si="0"/>
        <v>6261</v>
      </c>
      <c r="D5" s="264">
        <f t="shared" si="0"/>
        <v>6585</v>
      </c>
      <c r="E5" s="264">
        <f t="shared" si="0"/>
        <v>6193</v>
      </c>
      <c r="F5" s="264">
        <f t="shared" si="0"/>
        <v>5312</v>
      </c>
      <c r="G5" s="264">
        <f t="shared" si="0"/>
        <v>5012</v>
      </c>
      <c r="H5" s="264">
        <f t="shared" si="0"/>
        <v>4863</v>
      </c>
      <c r="I5" s="264">
        <f t="shared" si="0"/>
        <v>3941</v>
      </c>
      <c r="J5" s="264">
        <f t="shared" si="0"/>
        <v>3724</v>
      </c>
      <c r="K5" s="264">
        <f t="shared" si="0"/>
        <v>4539</v>
      </c>
      <c r="L5" s="264">
        <f>SUM(L6:L10)</f>
        <v>4829</v>
      </c>
    </row>
    <row r="6" spans="1:12" s="85" customFormat="1" ht="27">
      <c r="A6" s="153" t="s">
        <v>656</v>
      </c>
      <c r="B6" s="49">
        <f>SUM(C6:L6)</f>
        <v>11844</v>
      </c>
      <c r="C6" s="225">
        <v>0</v>
      </c>
      <c r="D6" s="225">
        <v>954</v>
      </c>
      <c r="E6" s="225">
        <v>1233</v>
      </c>
      <c r="F6" s="225">
        <v>1212</v>
      </c>
      <c r="G6" s="225">
        <v>1447</v>
      </c>
      <c r="H6" s="225">
        <v>1366</v>
      </c>
      <c r="I6" s="225">
        <v>1331</v>
      </c>
      <c r="J6" s="225">
        <v>1408</v>
      </c>
      <c r="K6" s="225">
        <v>1380</v>
      </c>
      <c r="L6" s="225">
        <v>1513</v>
      </c>
    </row>
    <row r="7" spans="1:12" ht="39.75">
      <c r="A7" s="153" t="s">
        <v>657</v>
      </c>
      <c r="B7" s="49">
        <f>SUM(C7:L7)</f>
        <v>17017</v>
      </c>
      <c r="C7" s="225">
        <v>1748</v>
      </c>
      <c r="D7" s="225">
        <v>1827</v>
      </c>
      <c r="E7" s="225">
        <v>1599</v>
      </c>
      <c r="F7" s="225">
        <v>1663</v>
      </c>
      <c r="G7" s="225">
        <v>1583</v>
      </c>
      <c r="H7" s="225">
        <v>1699</v>
      </c>
      <c r="I7" s="225">
        <v>1638</v>
      </c>
      <c r="J7" s="225">
        <v>1666</v>
      </c>
      <c r="K7" s="225">
        <v>1809</v>
      </c>
      <c r="L7" s="225">
        <v>1785</v>
      </c>
    </row>
    <row r="8" spans="1:17" ht="39.75">
      <c r="A8" s="153" t="s">
        <v>658</v>
      </c>
      <c r="B8" s="49">
        <f>SUM(C8:L8)</f>
        <v>19047</v>
      </c>
      <c r="C8" s="225">
        <v>3849</v>
      </c>
      <c r="D8" s="225">
        <v>3213</v>
      </c>
      <c r="E8" s="225">
        <v>2851</v>
      </c>
      <c r="F8" s="225">
        <v>2286</v>
      </c>
      <c r="G8" s="225">
        <v>1848</v>
      </c>
      <c r="H8" s="225">
        <v>1634</v>
      </c>
      <c r="I8" s="225">
        <v>494</v>
      </c>
      <c r="J8" s="225">
        <v>455</v>
      </c>
      <c r="K8" s="225">
        <v>1116</v>
      </c>
      <c r="L8" s="225">
        <v>1301</v>
      </c>
      <c r="M8" s="85"/>
      <c r="N8" s="85"/>
      <c r="O8" s="85"/>
      <c r="P8" s="85"/>
      <c r="Q8" s="85"/>
    </row>
    <row r="9" spans="1:12" ht="39.75">
      <c r="A9" s="153" t="s">
        <v>659</v>
      </c>
      <c r="B9" s="49">
        <f>SUM(C9:L9)</f>
        <v>2714</v>
      </c>
      <c r="C9" s="225">
        <v>664</v>
      </c>
      <c r="D9" s="225">
        <v>591</v>
      </c>
      <c r="E9" s="225">
        <v>510</v>
      </c>
      <c r="F9" s="225">
        <v>151</v>
      </c>
      <c r="G9" s="225">
        <v>134</v>
      </c>
      <c r="H9" s="225">
        <v>164</v>
      </c>
      <c r="I9" s="225">
        <v>116</v>
      </c>
      <c r="J9" s="225">
        <v>102</v>
      </c>
      <c r="K9" s="225">
        <v>134</v>
      </c>
      <c r="L9" s="225">
        <v>148</v>
      </c>
    </row>
    <row r="10" spans="1:12" ht="27">
      <c r="A10" s="153" t="s">
        <v>772</v>
      </c>
      <c r="B10" s="49">
        <f>SUM(C10:L10)</f>
        <v>637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225">
        <v>362</v>
      </c>
      <c r="J10" s="225">
        <v>93</v>
      </c>
      <c r="K10" s="225">
        <v>100</v>
      </c>
      <c r="L10" s="225">
        <v>82</v>
      </c>
    </row>
    <row r="11" spans="1:12" ht="15.75">
      <c r="A11" s="175"/>
      <c r="B11" s="49"/>
      <c r="C11" s="49"/>
      <c r="D11" s="49"/>
      <c r="E11" s="49"/>
      <c r="F11" s="49"/>
      <c r="G11" s="49"/>
      <c r="H11" s="225"/>
      <c r="I11" s="225"/>
      <c r="J11" s="225"/>
      <c r="K11" s="225"/>
      <c r="L11" s="126"/>
    </row>
    <row r="12" spans="1:12" s="85" customFormat="1" ht="27">
      <c r="A12" s="176" t="s">
        <v>660</v>
      </c>
      <c r="B12" s="250">
        <f aca="true" t="shared" si="1" ref="B12:L12">SUM(B13:B15)</f>
        <v>1252</v>
      </c>
      <c r="C12" s="250">
        <f t="shared" si="1"/>
        <v>33</v>
      </c>
      <c r="D12" s="250">
        <f t="shared" si="1"/>
        <v>55</v>
      </c>
      <c r="E12" s="250">
        <f t="shared" si="1"/>
        <v>29</v>
      </c>
      <c r="F12" s="250">
        <f t="shared" si="1"/>
        <v>173</v>
      </c>
      <c r="G12" s="250">
        <f t="shared" si="1"/>
        <v>194</v>
      </c>
      <c r="H12" s="250">
        <f t="shared" si="1"/>
        <v>173</v>
      </c>
      <c r="I12" s="250">
        <f t="shared" si="1"/>
        <v>148</v>
      </c>
      <c r="J12" s="250">
        <f t="shared" si="1"/>
        <v>136</v>
      </c>
      <c r="K12" s="250">
        <f t="shared" si="1"/>
        <v>117</v>
      </c>
      <c r="L12" s="250">
        <f t="shared" si="1"/>
        <v>194</v>
      </c>
    </row>
    <row r="13" spans="1:12" ht="15.75">
      <c r="A13" s="153" t="s">
        <v>661</v>
      </c>
      <c r="B13" s="49">
        <f>SUM(C13:L13)</f>
        <v>219</v>
      </c>
      <c r="C13" s="58">
        <v>0</v>
      </c>
      <c r="D13" s="225">
        <v>26</v>
      </c>
      <c r="E13" s="225">
        <v>0</v>
      </c>
      <c r="F13" s="58">
        <v>44</v>
      </c>
      <c r="G13" s="225">
        <v>22</v>
      </c>
      <c r="H13" s="265">
        <v>38</v>
      </c>
      <c r="I13" s="225">
        <v>27</v>
      </c>
      <c r="J13" s="265">
        <v>14</v>
      </c>
      <c r="K13" s="225">
        <v>15</v>
      </c>
      <c r="L13" s="225">
        <v>33</v>
      </c>
    </row>
    <row r="14" spans="1:12" ht="39.75">
      <c r="A14" s="153" t="s">
        <v>662</v>
      </c>
      <c r="B14" s="49">
        <f>SUM(C14:L14)</f>
        <v>814</v>
      </c>
      <c r="C14" s="49">
        <v>33</v>
      </c>
      <c r="D14" s="49">
        <v>29</v>
      </c>
      <c r="E14" s="49">
        <v>29</v>
      </c>
      <c r="F14" s="49">
        <v>107</v>
      </c>
      <c r="G14" s="49">
        <v>149</v>
      </c>
      <c r="H14" s="225">
        <v>90</v>
      </c>
      <c r="I14" s="225">
        <v>100</v>
      </c>
      <c r="J14" s="225">
        <v>79</v>
      </c>
      <c r="K14" s="225">
        <v>66</v>
      </c>
      <c r="L14" s="225">
        <v>132</v>
      </c>
    </row>
    <row r="15" spans="1:12" ht="27">
      <c r="A15" s="153" t="s">
        <v>663</v>
      </c>
      <c r="B15" s="49">
        <f>SUM(C15:L15)</f>
        <v>219</v>
      </c>
      <c r="C15" s="225">
        <v>0</v>
      </c>
      <c r="D15" s="49">
        <v>0</v>
      </c>
      <c r="E15" s="49">
        <v>0</v>
      </c>
      <c r="F15" s="225">
        <v>22</v>
      </c>
      <c r="G15" s="225">
        <v>23</v>
      </c>
      <c r="H15" s="225">
        <v>45</v>
      </c>
      <c r="I15" s="225">
        <v>21</v>
      </c>
      <c r="J15" s="225">
        <v>43</v>
      </c>
      <c r="K15" s="225">
        <v>36</v>
      </c>
      <c r="L15" s="225">
        <v>29</v>
      </c>
    </row>
    <row r="16" spans="1:12" ht="12.75" customHeight="1">
      <c r="A16" s="175"/>
      <c r="B16" s="49"/>
      <c r="C16" s="49"/>
      <c r="D16" s="49"/>
      <c r="E16" s="49"/>
      <c r="F16" s="49"/>
      <c r="G16" s="49"/>
      <c r="H16" s="225"/>
      <c r="I16" s="225"/>
      <c r="J16" s="225"/>
      <c r="K16" s="225"/>
      <c r="L16" s="126"/>
    </row>
    <row r="17" spans="1:12" s="85" customFormat="1" ht="27">
      <c r="A17" s="176" t="s">
        <v>686</v>
      </c>
      <c r="B17" s="250">
        <f>SUM(C17:L17)</f>
        <v>112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56</v>
      </c>
      <c r="L17" s="250">
        <v>56</v>
      </c>
    </row>
    <row r="18" spans="1:12" ht="16.5" customHeight="1">
      <c r="A18" s="175"/>
      <c r="B18" s="49"/>
      <c r="C18" s="49"/>
      <c r="D18" s="49"/>
      <c r="E18" s="49"/>
      <c r="F18" s="49"/>
      <c r="G18" s="49"/>
      <c r="H18" s="225"/>
      <c r="I18" s="225"/>
      <c r="J18" s="225"/>
      <c r="K18" s="225"/>
      <c r="L18" s="126"/>
    </row>
    <row r="19" spans="1:12" ht="25.5" customHeight="1">
      <c r="A19" s="176" t="s">
        <v>684</v>
      </c>
      <c r="B19" s="250">
        <f aca="true" t="shared" si="2" ref="B19:L19">SUM(B20:B24)</f>
        <v>4079</v>
      </c>
      <c r="C19" s="250">
        <f t="shared" si="2"/>
        <v>415</v>
      </c>
      <c r="D19" s="250">
        <f t="shared" si="2"/>
        <v>401</v>
      </c>
      <c r="E19" s="250">
        <f t="shared" si="2"/>
        <v>427</v>
      </c>
      <c r="F19" s="250">
        <f t="shared" si="2"/>
        <v>491</v>
      </c>
      <c r="G19" s="250">
        <f t="shared" si="2"/>
        <v>610</v>
      </c>
      <c r="H19" s="250">
        <f t="shared" si="2"/>
        <v>682</v>
      </c>
      <c r="I19" s="250">
        <f t="shared" si="2"/>
        <v>470</v>
      </c>
      <c r="J19" s="250">
        <f t="shared" si="2"/>
        <v>155</v>
      </c>
      <c r="K19" s="250">
        <f t="shared" si="2"/>
        <v>198</v>
      </c>
      <c r="L19" s="250">
        <f t="shared" si="2"/>
        <v>230</v>
      </c>
    </row>
    <row r="20" spans="1:12" ht="15.75">
      <c r="A20" s="153" t="s">
        <v>664</v>
      </c>
      <c r="B20" s="49">
        <f>SUM(C20:L20)</f>
        <v>438</v>
      </c>
      <c r="C20" s="58">
        <v>21</v>
      </c>
      <c r="D20" s="58">
        <v>24</v>
      </c>
      <c r="E20" s="225">
        <v>17</v>
      </c>
      <c r="F20" s="225">
        <v>127</v>
      </c>
      <c r="G20" s="225">
        <v>103</v>
      </c>
      <c r="H20" s="225">
        <v>80</v>
      </c>
      <c r="I20" s="225">
        <v>66</v>
      </c>
      <c r="J20" s="225">
        <v>0</v>
      </c>
      <c r="K20" s="225">
        <v>0</v>
      </c>
      <c r="L20" s="225">
        <v>0</v>
      </c>
    </row>
    <row r="21" spans="1:12" ht="15.75">
      <c r="A21" s="153" t="s">
        <v>665</v>
      </c>
      <c r="B21" s="49">
        <f>SUM(C21:L21)</f>
        <v>925</v>
      </c>
      <c r="C21" s="58">
        <v>69</v>
      </c>
      <c r="D21" s="58">
        <v>63</v>
      </c>
      <c r="E21" s="58">
        <v>69</v>
      </c>
      <c r="F21" s="225">
        <v>67</v>
      </c>
      <c r="G21" s="225">
        <v>183</v>
      </c>
      <c r="H21" s="225">
        <v>230</v>
      </c>
      <c r="I21" s="225">
        <v>135</v>
      </c>
      <c r="J21" s="225">
        <v>0</v>
      </c>
      <c r="K21" s="225">
        <v>58</v>
      </c>
      <c r="L21" s="225">
        <v>51</v>
      </c>
    </row>
    <row r="22" spans="1:12" ht="27">
      <c r="A22" s="153" t="s">
        <v>666</v>
      </c>
      <c r="B22" s="49">
        <f>SUM(C22:L22)</f>
        <v>1139</v>
      </c>
      <c r="C22" s="58">
        <v>131</v>
      </c>
      <c r="D22" s="58">
        <v>141</v>
      </c>
      <c r="E22" s="58">
        <v>135</v>
      </c>
      <c r="F22" s="58">
        <v>115</v>
      </c>
      <c r="G22" s="225">
        <v>135</v>
      </c>
      <c r="H22" s="225">
        <v>192</v>
      </c>
      <c r="I22" s="225">
        <v>125</v>
      </c>
      <c r="J22" s="225">
        <v>41</v>
      </c>
      <c r="K22" s="225">
        <v>55</v>
      </c>
      <c r="L22" s="225">
        <v>69</v>
      </c>
    </row>
    <row r="23" spans="1:12" ht="27">
      <c r="A23" s="153" t="s">
        <v>939</v>
      </c>
      <c r="B23" s="49">
        <f>SUM(C23:L23)</f>
        <v>795</v>
      </c>
      <c r="C23" s="58">
        <v>93</v>
      </c>
      <c r="D23" s="58">
        <v>85</v>
      </c>
      <c r="E23" s="58">
        <v>134</v>
      </c>
      <c r="F23" s="58">
        <v>123</v>
      </c>
      <c r="G23" s="225">
        <v>108</v>
      </c>
      <c r="H23" s="225">
        <v>115</v>
      </c>
      <c r="I23" s="225">
        <v>60</v>
      </c>
      <c r="J23" s="225">
        <v>17</v>
      </c>
      <c r="K23" s="225">
        <v>26</v>
      </c>
      <c r="L23" s="225">
        <v>34</v>
      </c>
    </row>
    <row r="24" spans="1:12" ht="39.75">
      <c r="A24" s="153" t="s">
        <v>940</v>
      </c>
      <c r="B24" s="49">
        <f>SUM(C24:L24)</f>
        <v>782</v>
      </c>
      <c r="C24" s="58">
        <v>101</v>
      </c>
      <c r="D24" s="58">
        <v>88</v>
      </c>
      <c r="E24" s="58">
        <v>72</v>
      </c>
      <c r="F24" s="58">
        <v>59</v>
      </c>
      <c r="G24" s="49">
        <v>81</v>
      </c>
      <c r="H24" s="49">
        <v>65</v>
      </c>
      <c r="I24" s="49">
        <v>84</v>
      </c>
      <c r="J24" s="49">
        <v>97</v>
      </c>
      <c r="K24" s="49">
        <v>59</v>
      </c>
      <c r="L24" s="49">
        <v>76</v>
      </c>
    </row>
    <row r="25" spans="1:12" s="40" customFormat="1" ht="8.25" customHeight="1">
      <c r="A25" s="187"/>
      <c r="B25" s="188"/>
      <c r="C25" s="188"/>
      <c r="D25" s="188"/>
      <c r="E25" s="188"/>
      <c r="F25" s="188"/>
      <c r="G25" s="188"/>
      <c r="H25" s="188"/>
      <c r="I25" s="188"/>
      <c r="J25" s="32"/>
      <c r="K25" s="48"/>
      <c r="L25" s="48"/>
    </row>
    <row r="37" spans="1:12" ht="15.75">
      <c r="A37" s="458" t="str">
        <f>"- "&amp;Sheet1!F26&amp;" -"</f>
        <v>- 160 -</v>
      </c>
      <c r="B37" s="458"/>
      <c r="C37" s="458"/>
      <c r="D37" s="458"/>
      <c r="E37" s="458"/>
      <c r="F37" s="458" t="str">
        <f>"- "&amp;Sheet1!G26&amp;" -"</f>
        <v>- 161 -</v>
      </c>
      <c r="G37" s="458"/>
      <c r="H37" s="458"/>
      <c r="I37" s="458"/>
      <c r="J37" s="458"/>
      <c r="K37" s="458"/>
      <c r="L37" s="458"/>
    </row>
    <row r="44" ht="15.75">
      <c r="A44" s="328"/>
    </row>
  </sheetData>
  <sheetProtection/>
  <mergeCells count="6">
    <mergeCell ref="A37:E37"/>
    <mergeCell ref="F37:L37"/>
    <mergeCell ref="F1:L1"/>
    <mergeCell ref="A1:E1"/>
    <mergeCell ref="A3:D3"/>
    <mergeCell ref="G3:K3"/>
  </mergeCells>
  <printOptions/>
  <pageMargins left="0.7086614173228347" right="0.7086614173228347" top="0.7480314960629921" bottom="0.01225490196078431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view="pageLayout" zoomScaleSheetLayoutView="85" workbookViewId="0" topLeftCell="A21">
      <selection activeCell="A35" sqref="A35:E35"/>
    </sheetView>
  </sheetViews>
  <sheetFormatPr defaultColWidth="9.00390625" defaultRowHeight="16.5"/>
  <cols>
    <col min="1" max="1" width="38.50390625" style="79" customWidth="1"/>
    <col min="2" max="5" width="11.125" style="79" customWidth="1"/>
    <col min="6" max="12" width="12.125" style="79" customWidth="1"/>
    <col min="13" max="16384" width="9.00390625" style="79" customWidth="1"/>
  </cols>
  <sheetData>
    <row r="1" spans="1:12" s="80" customFormat="1" ht="21.75" customHeight="1">
      <c r="A1" s="459" t="s">
        <v>879</v>
      </c>
      <c r="B1" s="459"/>
      <c r="C1" s="459"/>
      <c r="D1" s="459"/>
      <c r="E1" s="459"/>
      <c r="F1" s="459" t="s">
        <v>200</v>
      </c>
      <c r="G1" s="459"/>
      <c r="H1" s="459"/>
      <c r="I1" s="459"/>
      <c r="J1" s="459"/>
      <c r="K1" s="459"/>
      <c r="L1" s="459"/>
    </row>
    <row r="2" spans="1:12" ht="18" customHeight="1">
      <c r="A2" s="478" t="s">
        <v>118</v>
      </c>
      <c r="B2" s="479"/>
      <c r="C2" s="479"/>
      <c r="D2" s="479"/>
      <c r="E2" s="479"/>
      <c r="F2" s="458" t="s">
        <v>448</v>
      </c>
      <c r="G2" s="458"/>
      <c r="H2" s="458"/>
      <c r="I2" s="458"/>
      <c r="J2" s="458"/>
      <c r="K2" s="458"/>
      <c r="L2" s="458"/>
    </row>
    <row r="3" spans="1:12" s="75" customFormat="1" ht="15" customHeight="1">
      <c r="A3" s="474" t="s">
        <v>831</v>
      </c>
      <c r="B3" s="475"/>
      <c r="C3" s="475"/>
      <c r="D3" s="475"/>
      <c r="E3" s="4" t="s">
        <v>815</v>
      </c>
      <c r="F3" s="21"/>
      <c r="G3" s="476" t="s">
        <v>833</v>
      </c>
      <c r="H3" s="476"/>
      <c r="I3" s="476"/>
      <c r="J3" s="476"/>
      <c r="K3" s="476"/>
      <c r="L3" s="67" t="s">
        <v>447</v>
      </c>
    </row>
    <row r="4" spans="1:12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0" s="11" customFormat="1" ht="3.75" customHeight="1">
      <c r="A5" s="160"/>
      <c r="B5" s="159"/>
      <c r="C5" s="160"/>
      <c r="D5" s="160"/>
      <c r="E5" s="160"/>
      <c r="F5" s="160"/>
      <c r="G5" s="160"/>
      <c r="H5" s="160"/>
      <c r="I5" s="160"/>
      <c r="J5" s="160"/>
    </row>
    <row r="6" spans="1:12" ht="15.75">
      <c r="A6" s="142" t="s">
        <v>874</v>
      </c>
      <c r="B6" s="278">
        <f>SUM(B7,B11)+SUM('表26(續完)'!B6,'表26(續完)'!B13,'表26(續完)'!B18,'表26(續完)'!B20)</f>
        <v>100.0214343836808</v>
      </c>
      <c r="C6" s="279">
        <f>SUM(C7,C11)+SUM('表26(續完)'!C6,'表26(續完)'!C13,'表26(續完)'!C18,'表26(續完)'!C20)</f>
        <v>100</v>
      </c>
      <c r="D6" s="279">
        <f>SUM(D7,D11)+SUM('表26(續完)'!D6,'表26(續完)'!D13,'表26(續完)'!D18,'表26(續完)'!D20)</f>
        <v>100</v>
      </c>
      <c r="E6" s="279">
        <f>SUM(E7,E11)+SUM('表26(續完)'!E6,'表26(續完)'!E13,'表26(續完)'!E18,'表26(續完)'!E20)</f>
        <v>100</v>
      </c>
      <c r="F6" s="279">
        <f>SUM(F7,F11)+SUM('表26(續完)'!F6,'表26(續完)'!F13,'表26(續完)'!F18,'表26(續完)'!F20)</f>
        <v>100</v>
      </c>
      <c r="G6" s="279">
        <f>SUM(G7,G11)+SUM('表26(續完)'!G6,'表26(續完)'!G13,'表26(續完)'!G18,'表26(續完)'!G20)</f>
        <v>100</v>
      </c>
      <c r="H6" s="279">
        <f>SUM(H7,H11)+SUM('表26(續完)'!H6,'表26(續完)'!H13,'表26(續完)'!H18,'表26(續完)'!H20)</f>
        <v>100</v>
      </c>
      <c r="I6" s="279">
        <f>SUM(I7,I11)+SUM('表26(續完)'!I6,'表26(續完)'!I13,'表26(續完)'!I18,'表26(續完)'!I20)</f>
        <v>100</v>
      </c>
      <c r="J6" s="279">
        <f>SUM(J7,J11)+SUM('表26(續完)'!J6,'表26(續完)'!J13,'表26(續完)'!J18,'表26(續完)'!J20)</f>
        <v>100</v>
      </c>
      <c r="K6" s="279">
        <f>SUM(K7,K11)+SUM('表26(續完)'!K6,'表26(續完)'!K13,'表26(續完)'!K18,'表26(續完)'!K20)</f>
        <v>100.04362988417972</v>
      </c>
      <c r="L6" s="279">
        <f>SUM(L7,L11)+SUM('表26(續完)'!L6,'表26(續完)'!L13,'表26(續完)'!L18,'表26(續完)'!L20)</f>
        <v>100.02481575773817</v>
      </c>
    </row>
    <row r="7" spans="1:12" ht="52.5">
      <c r="A7" s="178" t="s">
        <v>843</v>
      </c>
      <c r="B7" s="280">
        <f>'表25'!B6/'表25'!B5*100</f>
        <v>18.042734083447908</v>
      </c>
      <c r="C7" s="281">
        <f>'表25'!C6/'表25'!C5*100</f>
        <v>20.44682235557805</v>
      </c>
      <c r="D7" s="281">
        <f>'表25'!D6/'表25'!D5*100</f>
        <v>12.160638390146588</v>
      </c>
      <c r="E7" s="281">
        <f>'表25'!E6/'表25'!E5*100</f>
        <v>13.631284916201118</v>
      </c>
      <c r="F7" s="281">
        <f>'表25'!F6/'表25'!F5*100</f>
        <v>16.21578864103781</v>
      </c>
      <c r="G7" s="281">
        <f>'表25'!G6/'表25'!G5*100</f>
        <v>16.876834007454995</v>
      </c>
      <c r="H7" s="281">
        <f>'表25'!H6/'表25'!H5*100</f>
        <v>14.83382691674893</v>
      </c>
      <c r="I7" s="281">
        <f>'表25'!I6/'表25'!I5*100</f>
        <v>18.013036899080433</v>
      </c>
      <c r="J7" s="281">
        <f>'表25'!J6/'表25'!J5*100</f>
        <v>22.447859495060374</v>
      </c>
      <c r="K7" s="281">
        <f>'表25'!K6/'表25'!K5*100</f>
        <v>21.197658139238897</v>
      </c>
      <c r="L7" s="281">
        <f>'表25'!L6/'表25'!L5*100</f>
        <v>21.733887176738577</v>
      </c>
    </row>
    <row r="8" spans="1:12" ht="15.75">
      <c r="A8" s="175" t="s">
        <v>876</v>
      </c>
      <c r="B8" s="282">
        <f>'表25'!B7/'表25'!B5*100</f>
        <v>10.81750329694997</v>
      </c>
      <c r="C8" s="283">
        <f>'表25'!C7/'表25'!C5*100</f>
        <v>9.225652519702118</v>
      </c>
      <c r="D8" s="283">
        <f>'表25'!D7/'表25'!D5*100</f>
        <v>5.490502211813688</v>
      </c>
      <c r="E8" s="283">
        <f>'表25'!E7/'表25'!E5*100</f>
        <v>8.068635275339187</v>
      </c>
      <c r="F8" s="283">
        <f>'表25'!F7/'表25'!F5*100</f>
        <v>10.449295997468756</v>
      </c>
      <c r="G8" s="283">
        <f>'表25'!G7/'表25'!G5*100</f>
        <v>9.556665873582363</v>
      </c>
      <c r="H8" s="283">
        <f>'表25'!H7/'表25'!H5*100</f>
        <v>9.759789404409345</v>
      </c>
      <c r="I8" s="283">
        <f>'表25'!I7/'表25'!I5*100</f>
        <v>11.605168199278316</v>
      </c>
      <c r="J8" s="283">
        <f>'表25'!J7/'表25'!J5*100</f>
        <v>13.910232955238444</v>
      </c>
      <c r="K8" s="283">
        <f>'表25'!K7/'表25'!K5*100</f>
        <v>13.573883161512027</v>
      </c>
      <c r="L8" s="283">
        <f>'表25'!L7/'表25'!L5*100</f>
        <v>13.962213587029346</v>
      </c>
    </row>
    <row r="9" spans="1:12" ht="15.75">
      <c r="A9" s="175" t="s">
        <v>877</v>
      </c>
      <c r="B9" s="282">
        <f>'表25'!B8/'表25'!B5*100</f>
        <v>4.2902438340020765</v>
      </c>
      <c r="C9" s="283">
        <f>'表25'!C8/'表25'!C5*100</f>
        <v>6.74571614489191</v>
      </c>
      <c r="D9" s="283">
        <f>'表25'!D8/'表25'!D5*100</f>
        <v>4.215456674473068</v>
      </c>
      <c r="E9" s="283">
        <f>'表25'!E8/'表25'!E5*100</f>
        <v>2.9529130087789306</v>
      </c>
      <c r="F9" s="283">
        <f>'表25'!F8/'表25'!F5*100</f>
        <v>3.5832937826293305</v>
      </c>
      <c r="G9" s="283">
        <f>'表25'!G8/'表25'!G5*100</f>
        <v>3.505432627488302</v>
      </c>
      <c r="H9" s="283">
        <f>'表25'!H8/'表25'!H5*100</f>
        <v>2.5534715366897007</v>
      </c>
      <c r="I9" s="283">
        <f>'表25'!I8/'表25'!I5*100</f>
        <v>4.015830520311954</v>
      </c>
      <c r="J9" s="283">
        <f>'表25'!J8/'表25'!J5*100</f>
        <v>5.409196243444322</v>
      </c>
      <c r="K9" s="283">
        <f>'表25'!K8/'表25'!K5*100</f>
        <v>4.62644775359552</v>
      </c>
      <c r="L9" s="283">
        <f>'表25'!L8/'表25'!L5*100</f>
        <v>4.957791772745545</v>
      </c>
    </row>
    <row r="10" spans="1:12" ht="15.75">
      <c r="A10" s="175" t="s">
        <v>844</v>
      </c>
      <c r="B10" s="282">
        <f>'表25'!B9/'表25'!B5*100</f>
        <v>2.934986952495861</v>
      </c>
      <c r="C10" s="283">
        <f>'表25'!C9/'表25'!C5*100</f>
        <v>4.475453690984022</v>
      </c>
      <c r="D10" s="283">
        <f>'表25'!D9/'表25'!D5*100</f>
        <v>2.4546795038598317</v>
      </c>
      <c r="E10" s="283">
        <f>'表25'!E9/'表25'!E5*100</f>
        <v>2.609736632083001</v>
      </c>
      <c r="F10" s="283">
        <f>'表25'!F9/'表25'!F5*100</f>
        <v>2.183198860939725</v>
      </c>
      <c r="G10" s="283">
        <f>'表25'!G9/'表25'!G5*100</f>
        <v>3.8147355063843285</v>
      </c>
      <c r="H10" s="283">
        <f>'表25'!H9/'表25'!H5*100</f>
        <v>2.520565975649885</v>
      </c>
      <c r="I10" s="283">
        <f>'表25'!I9/'表25'!I5*100</f>
        <v>2.3920381794901644</v>
      </c>
      <c r="J10" s="283">
        <f>'表25'!J9/'表25'!J5*100</f>
        <v>3.128430296377607</v>
      </c>
      <c r="K10" s="283">
        <f>'表25'!K9/'表25'!K5*100</f>
        <v>2.997327224131348</v>
      </c>
      <c r="L10" s="283">
        <f>'表25'!L9/'表25'!L5*100</f>
        <v>2.8138818169636877</v>
      </c>
    </row>
    <row r="11" spans="1:12" ht="39.75">
      <c r="A11" s="178" t="s">
        <v>845</v>
      </c>
      <c r="B11" s="280">
        <f>'表25'!B10/'表25'!B5*100</f>
        <v>42.18201969752238</v>
      </c>
      <c r="C11" s="281">
        <f>'表25'!C10/'表25'!C5*100</f>
        <v>31.046200563950542</v>
      </c>
      <c r="D11" s="281">
        <f>'表25'!D10/'表25'!D5*100</f>
        <v>26.76728250498742</v>
      </c>
      <c r="E11" s="281">
        <f>'表25'!E10/'表25'!E5*100</f>
        <v>33.304070231444534</v>
      </c>
      <c r="F11" s="281">
        <f>'表25'!F10/'表25'!F5*100</f>
        <v>36.51320993513685</v>
      </c>
      <c r="G11" s="281">
        <f>'表25'!G10/'表25'!G5*100</f>
        <v>36.997382821793956</v>
      </c>
      <c r="H11" s="281">
        <f>'表25'!H10/'表25'!H5*100</f>
        <v>47.535373478117805</v>
      </c>
      <c r="I11" s="281">
        <f>'表25'!I10/'表25'!I5*100</f>
        <v>55.45338144569899</v>
      </c>
      <c r="J11" s="281">
        <f>'表25'!J10/'表25'!J5*100</f>
        <v>53.06744724966459</v>
      </c>
      <c r="K11" s="281">
        <f>'表25'!K10/'表25'!K5*100</f>
        <v>47.556319205803746</v>
      </c>
      <c r="L11" s="281">
        <f>'表25'!L10/'表25'!L5*100</f>
        <v>42.69730671311805</v>
      </c>
    </row>
    <row r="12" spans="1:12" ht="52.5">
      <c r="A12" s="128" t="s">
        <v>29</v>
      </c>
      <c r="B12" s="282">
        <f>'表25'!B11/'表25'!B5*100</f>
        <v>1.153932489688263</v>
      </c>
      <c r="C12" s="283">
        <f>'表25'!C11/'表25'!C5*100</f>
        <v>10.433085098691345</v>
      </c>
      <c r="D12" s="283">
        <f>'表25'!D11/'表25'!D5*100</f>
        <v>1.5873015873015872</v>
      </c>
      <c r="E12" s="283">
        <f>'表25'!E11/'表25'!E5*100</f>
        <v>0.11173184357541899</v>
      </c>
      <c r="F12" s="283">
        <v>0</v>
      </c>
      <c r="G12" s="283">
        <f>'表25'!G11/'表25'!G5*100</f>
        <v>0</v>
      </c>
      <c r="H12" s="283">
        <f>'表25'!H11/'表25'!H5*100</f>
        <v>0</v>
      </c>
      <c r="I12" s="283">
        <f>'表25'!I11/'表25'!I5*100</f>
        <v>0</v>
      </c>
      <c r="J12" s="283">
        <f>'表25'!J11/'表25'!J5*100</f>
        <v>0</v>
      </c>
      <c r="K12" s="283">
        <f>'表25'!K11/'表25'!K5*100</f>
        <v>0</v>
      </c>
      <c r="L12" s="283">
        <f>'表25'!L11/'表25'!L10*100</f>
        <v>0</v>
      </c>
    </row>
    <row r="13" spans="1:12" ht="39.75">
      <c r="A13" s="153" t="s">
        <v>38</v>
      </c>
      <c r="B13" s="282">
        <f>'表25'!B12/'表25'!B5*100</f>
        <v>0.164146019809759</v>
      </c>
      <c r="C13" s="283">
        <f>'表25'!C12/'表25'!C5*100</f>
        <v>0.19521365049526426</v>
      </c>
      <c r="D13" s="283">
        <f>'表25'!D12/'表25'!D5*100</f>
        <v>1.7087344956197414</v>
      </c>
      <c r="E13" s="283">
        <v>0</v>
      </c>
      <c r="F13" s="283">
        <v>0</v>
      </c>
      <c r="G13" s="283">
        <f>'表25'!G12/'表25'!G5*100</f>
        <v>0</v>
      </c>
      <c r="H13" s="283">
        <f>'表25'!H12/'表25'!H5*100</f>
        <v>0</v>
      </c>
      <c r="I13" s="283">
        <f>'表25'!I12/'表25'!I5*100</f>
        <v>0</v>
      </c>
      <c r="J13" s="283">
        <f>'表25'!J12/'表25'!J5*100</f>
        <v>0</v>
      </c>
      <c r="K13" s="283">
        <f>'表25'!K12/'表25'!K5*100</f>
        <v>0</v>
      </c>
      <c r="L13" s="283">
        <f>'表25'!L12/'表25'!L10*100</f>
        <v>0</v>
      </c>
    </row>
    <row r="14" spans="1:12" ht="39.75">
      <c r="A14" s="153" t="s">
        <v>12</v>
      </c>
      <c r="B14" s="282">
        <f>'表25'!B13/'表25'!B5*100</f>
        <v>10.96832122113415</v>
      </c>
      <c r="C14" s="283">
        <f>'表25'!C13/'表25'!C5*100</f>
        <v>0</v>
      </c>
      <c r="D14" s="283">
        <f>'表25'!D13/'表25'!D5*100</f>
        <v>0</v>
      </c>
      <c r="E14" s="283">
        <f>'表25'!E13/'表25'!E5*100</f>
        <v>20.335195530726256</v>
      </c>
      <c r="F14" s="283">
        <f>'表25'!F13/'表25'!F5*100</f>
        <v>15.250751463376048</v>
      </c>
      <c r="G14" s="283">
        <f>'表25'!G13/'表25'!G5*100</f>
        <v>9.905622967721468</v>
      </c>
      <c r="H14" s="283">
        <f>'表25'!H13/'表25'!H5*100</f>
        <v>10.200723922342876</v>
      </c>
      <c r="I14" s="283">
        <f>'表25'!I13/'表25'!I5*100</f>
        <v>12.297753462926318</v>
      </c>
      <c r="J14" s="283">
        <f>'表25'!J13/'表25'!J5*100</f>
        <v>12.044151725820223</v>
      </c>
      <c r="K14" s="283">
        <f>'表25'!K13/'表25'!K5*100</f>
        <v>13.76479572355861</v>
      </c>
      <c r="L14" s="283">
        <f>'表25'!L13/'表25'!L5*100</f>
        <v>14.136406270936622</v>
      </c>
    </row>
    <row r="15" spans="1:12" ht="27">
      <c r="A15" s="153" t="s">
        <v>325</v>
      </c>
      <c r="B15" s="302">
        <f>'表25'!B14/'表25'!B5*100</f>
        <v>0.002104436151407166</v>
      </c>
      <c r="C15" s="283">
        <f>'表25'!C14/'表25'!C5*100</f>
        <v>0</v>
      </c>
      <c r="D15" s="283">
        <v>0</v>
      </c>
      <c r="E15" s="283">
        <f>'表25'!E14/'表25'!E5*100</f>
        <v>0</v>
      </c>
      <c r="F15" s="283">
        <v>0</v>
      </c>
      <c r="G15" s="283">
        <f>'表25'!G14/'表25'!G5*100</f>
        <v>0</v>
      </c>
      <c r="H15" s="283">
        <f>'表25'!H14/'表25'!H5*100</f>
        <v>0</v>
      </c>
      <c r="I15" s="283">
        <f>'表25'!I14/'表25'!I5*100</f>
        <v>0</v>
      </c>
      <c r="J15" s="283">
        <f>'表25'!J14/'表25'!J5*100</f>
        <v>0</v>
      </c>
      <c r="K15" s="283">
        <f>'表25'!K14/'表25'!K5*100</f>
        <v>0</v>
      </c>
      <c r="L15" s="283">
        <f>'表25'!L14/'表25'!L5*100</f>
        <v>0</v>
      </c>
    </row>
    <row r="16" spans="1:12" ht="27">
      <c r="A16" s="153" t="s">
        <v>324</v>
      </c>
      <c r="B16" s="282">
        <f>'表25'!B15/'表25'!B5*100</f>
        <v>7.122113415078986</v>
      </c>
      <c r="C16" s="283">
        <f>'表25'!C15/'表25'!C5*100</f>
        <v>6.861398308148363</v>
      </c>
      <c r="D16" s="283">
        <f>'表25'!D15/'表25'!D5*100</f>
        <v>4.892011449388499</v>
      </c>
      <c r="E16" s="283">
        <f>'表25'!E15/'表25'!E5*100</f>
        <v>5.722266560255387</v>
      </c>
      <c r="F16" s="283">
        <f>'表25'!F15/'表25'!F5*100</f>
        <v>5.5687391235564</v>
      </c>
      <c r="G16" s="283">
        <f>'表25'!G15/'表25'!G5*100</f>
        <v>5.559520977079863</v>
      </c>
      <c r="H16" s="283">
        <f>'表25'!H15/'表25'!H5*100</f>
        <v>10.16781836130306</v>
      </c>
      <c r="I16" s="283">
        <f>'表25'!I15/'表25'!I5*100</f>
        <v>7.7057385636130835</v>
      </c>
      <c r="J16" s="283">
        <f>'表25'!J15/'表25'!J5*100</f>
        <v>9.055982436882546</v>
      </c>
      <c r="K16" s="283">
        <f>'表25'!K15/'表25'!K5*100</f>
        <v>7.986508845615376</v>
      </c>
      <c r="L16" s="283">
        <f>'表25'!L15/'表25'!L5*100</f>
        <v>6.090044218142838</v>
      </c>
    </row>
    <row r="17" spans="1:12" ht="15.75">
      <c r="A17" s="174" t="s">
        <v>90</v>
      </c>
      <c r="B17" s="282">
        <f>'表25'!B16/'表25'!B5*100</f>
        <v>0.015432531776985886</v>
      </c>
      <c r="C17" s="283">
        <f>'表25'!C16/'表25'!C5*100</f>
        <v>0.15906297447762274</v>
      </c>
      <c r="D17" s="283">
        <f>'表25'!D16/'表25'!D5*100</f>
        <v>0</v>
      </c>
      <c r="E17" s="283">
        <f>'表25'!E16/'表25'!E5*100</f>
        <v>0</v>
      </c>
      <c r="F17" s="283">
        <f>'表25'!F16/'表25'!F5*100</f>
        <v>0</v>
      </c>
      <c r="G17" s="283">
        <f>'表25'!G16/'表25'!G5*100</f>
        <v>0</v>
      </c>
      <c r="H17" s="283">
        <f>'表25'!H16/'表25'!H5*100</f>
        <v>0</v>
      </c>
      <c r="I17" s="283">
        <f>'表25'!I16/'表25'!I5*100</f>
        <v>0</v>
      </c>
      <c r="J17" s="283">
        <f>'表25'!J16/'表25'!J5*100</f>
        <v>0</v>
      </c>
      <c r="K17" s="283">
        <f>'表25'!K16/'表25'!K5*100</f>
        <v>0</v>
      </c>
      <c r="L17" s="283">
        <f>'表25'!L16/'表25'!L5*100</f>
        <v>0</v>
      </c>
    </row>
    <row r="18" spans="1:12" ht="39.75" customHeight="1">
      <c r="A18" s="226" t="s">
        <v>636</v>
      </c>
      <c r="B18" s="282">
        <f>'表25'!B17/'表25'!B5*100</f>
        <v>0</v>
      </c>
      <c r="C18" s="283">
        <f>'表25'!C17/'表25'!C5*100</f>
        <v>0</v>
      </c>
      <c r="D18" s="283">
        <f>'表25'!D17/'表25'!D5*100</f>
        <v>0</v>
      </c>
      <c r="E18" s="283">
        <f>'表25'!E17/'表25'!E5*100</f>
        <v>0</v>
      </c>
      <c r="F18" s="283">
        <f>'表25'!F17/'表25'!F5*100</f>
        <v>0</v>
      </c>
      <c r="G18" s="283">
        <f>'表25'!G17/'表25'!G5*100</f>
        <v>0</v>
      </c>
      <c r="H18" s="283">
        <f>'表25'!H17/'表25'!H5*100</f>
        <v>0</v>
      </c>
      <c r="I18" s="283">
        <f>'表25'!I17/'表25'!I5*100</f>
        <v>0</v>
      </c>
      <c r="J18" s="283">
        <f>'表25'!J17/'表25'!J5*100</f>
        <v>0</v>
      </c>
      <c r="K18" s="283">
        <f>'表25'!K17/'表25'!K5*100</f>
        <v>0</v>
      </c>
      <c r="L18" s="283">
        <f>'表25'!L17/'表25'!L5*100</f>
        <v>0</v>
      </c>
    </row>
    <row r="19" spans="1:12" ht="52.5">
      <c r="A19" s="174" t="s">
        <v>326</v>
      </c>
      <c r="B19" s="282">
        <f>'表25'!B18/'表25'!B5*100</f>
        <v>0.06874491427930077</v>
      </c>
      <c r="C19" s="283">
        <f>'表25'!C18/'表25'!C5*100</f>
        <v>0</v>
      </c>
      <c r="D19" s="283">
        <f>'表25'!D18/'表25'!D5*100</f>
        <v>0.06939023332465954</v>
      </c>
      <c r="E19" s="283">
        <v>0</v>
      </c>
      <c r="F19" s="283">
        <f>'表25'!F18/'表25'!F5*100</f>
        <v>0.15820281601012498</v>
      </c>
      <c r="G19" s="283">
        <f>'表25'!G18/'表25'!G5*100</f>
        <v>0</v>
      </c>
      <c r="H19" s="283">
        <f>'表25'!H18/'表25'!H5*100</f>
        <v>0</v>
      </c>
      <c r="I19" s="283">
        <v>0</v>
      </c>
      <c r="J19" s="283">
        <f>'表25'!J18/'表25'!J5*100</f>
        <v>0</v>
      </c>
      <c r="K19" s="283">
        <f>'表25'!K18/'表25'!K5*100</f>
        <v>0.22909507445589922</v>
      </c>
      <c r="L19" s="283">
        <f>'表25'!L18/'表25'!L5*100</f>
        <v>0.21439099557818572</v>
      </c>
    </row>
    <row r="20" spans="1:12" ht="52.5">
      <c r="A20" s="174" t="s">
        <v>327</v>
      </c>
      <c r="B20" s="282">
        <f>'表25'!B19/'表25'!B5*100</f>
        <v>0.44964785768399784</v>
      </c>
      <c r="C20" s="283">
        <f>'表25'!C19/'表25'!C5*100</f>
        <v>0.4265779770081701</v>
      </c>
      <c r="D20" s="283">
        <f>'表25'!D19/'表25'!D5*100</f>
        <v>0.702576112412178</v>
      </c>
      <c r="E20" s="283">
        <f>'表25'!E19/'表25'!E5*100</f>
        <v>0.33519553072625696</v>
      </c>
      <c r="F20" s="283">
        <f>'表25'!F19/'表25'!F5*100</f>
        <v>0.33222591362126247</v>
      </c>
      <c r="G20" s="283">
        <f>'表25'!G19/'表25'!G5*100</f>
        <v>0.49171226901419623</v>
      </c>
      <c r="H20" s="283">
        <f>'表25'!H19/'表25'!H5*100</f>
        <v>0.3882856202698256</v>
      </c>
      <c r="I20" s="283">
        <f>'表25'!I19/'表25'!I5*100</f>
        <v>0.3783028751018508</v>
      </c>
      <c r="J20" s="283">
        <f>'表25'!J19/'表25'!J5*100</f>
        <v>0.451274545676302</v>
      </c>
      <c r="K20" s="283">
        <f>'表25'!K19/'表25'!K5*100</f>
        <v>0.4900089092528955</v>
      </c>
      <c r="L20" s="283">
        <f>'表25'!L19/'表25'!L5*100</f>
        <v>0.5359774889454643</v>
      </c>
    </row>
    <row r="21" spans="1:12" ht="15.75">
      <c r="A21" s="338" t="s">
        <v>328</v>
      </c>
      <c r="B21" s="341">
        <f>'表25'!B20/'表25'!B5*100</f>
        <v>14.688964336822021</v>
      </c>
      <c r="C21" s="342">
        <f>'表25'!C20/'表25'!C5*100</f>
        <v>9.804063335984383</v>
      </c>
      <c r="D21" s="342">
        <f>'表25'!D20/'表25'!D5*100</f>
        <v>10.130974065400295</v>
      </c>
      <c r="E21" s="342">
        <f>'表25'!E20/'表25'!E5*100</f>
        <v>3.7031125299281724</v>
      </c>
      <c r="F21" s="342">
        <f>'表25'!F20/'表25'!F5*100</f>
        <v>11.24031007751938</v>
      </c>
      <c r="G21" s="342">
        <f>'表25'!G20/'表25'!G5*100</f>
        <v>14.719644698231422</v>
      </c>
      <c r="H21" s="342">
        <f>'表25'!H20/'表25'!H5*100</f>
        <v>20.381704508061862</v>
      </c>
      <c r="I21" s="342">
        <f>'表25'!I20/'表25'!I5*100</f>
        <v>23.582819229426143</v>
      </c>
      <c r="J21" s="342">
        <f>'表25'!J20/'表25'!J5*100</f>
        <v>21.64288327844859</v>
      </c>
      <c r="K21" s="342">
        <f>'表25'!K20/'表25'!K5*100</f>
        <v>16.558482881506936</v>
      </c>
      <c r="L21" s="342">
        <f>'表25'!L20/'表25'!L5*100</f>
        <v>9.212113091250169</v>
      </c>
    </row>
    <row r="23" spans="1:13" ht="15.75">
      <c r="A23" s="480" t="s">
        <v>898</v>
      </c>
      <c r="B23" s="481"/>
      <c r="C23" s="481"/>
      <c r="D23" s="481"/>
      <c r="E23" s="481"/>
      <c r="F23" s="482" t="s">
        <v>963</v>
      </c>
      <c r="G23" s="482"/>
      <c r="H23" s="482"/>
      <c r="I23" s="482"/>
      <c r="J23" s="482"/>
      <c r="K23" s="482"/>
      <c r="L23" s="482"/>
      <c r="M23" s="11"/>
    </row>
    <row r="35" spans="1:12" ht="15.75">
      <c r="A35" s="458" t="str">
        <f>"- "&amp;Sheet1!B27&amp;" -"</f>
        <v>- 162 -</v>
      </c>
      <c r="B35" s="458"/>
      <c r="C35" s="458"/>
      <c r="D35" s="458"/>
      <c r="E35" s="458"/>
      <c r="F35" s="458" t="str">
        <f>"- "&amp;Sheet1!C27&amp;" -"</f>
        <v>- 163 -</v>
      </c>
      <c r="G35" s="458"/>
      <c r="H35" s="458"/>
      <c r="I35" s="458"/>
      <c r="J35" s="458"/>
      <c r="K35" s="458"/>
      <c r="L35" s="458"/>
    </row>
    <row r="44" ht="15.75">
      <c r="A44" s="328"/>
    </row>
  </sheetData>
  <sheetProtection/>
  <mergeCells count="10">
    <mergeCell ref="F1:L1"/>
    <mergeCell ref="A1:E1"/>
    <mergeCell ref="A2:E2"/>
    <mergeCell ref="A35:E35"/>
    <mergeCell ref="F35:L35"/>
    <mergeCell ref="A3:D3"/>
    <mergeCell ref="F2:L2"/>
    <mergeCell ref="G3:K3"/>
    <mergeCell ref="A23:E23"/>
    <mergeCell ref="F23:L23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view="pageLayout" zoomScaleNormal="75" zoomScaleSheetLayoutView="85" workbookViewId="0" topLeftCell="A19">
      <selection activeCell="A33" sqref="A33:E33"/>
    </sheetView>
  </sheetViews>
  <sheetFormatPr defaultColWidth="9.00390625" defaultRowHeight="16.5"/>
  <cols>
    <col min="1" max="1" width="38.375" style="79" customWidth="1"/>
    <col min="2" max="5" width="11.125" style="79" customWidth="1"/>
    <col min="6" max="12" width="11.25390625" style="79" customWidth="1"/>
    <col min="13" max="16384" width="9.00390625" style="79" customWidth="1"/>
  </cols>
  <sheetData>
    <row r="1" spans="1:13" s="80" customFormat="1" ht="18" customHeight="1">
      <c r="A1" s="459" t="s">
        <v>880</v>
      </c>
      <c r="B1" s="459"/>
      <c r="C1" s="459"/>
      <c r="D1" s="459"/>
      <c r="E1" s="459"/>
      <c r="F1" s="483" t="s">
        <v>199</v>
      </c>
      <c r="G1" s="483"/>
      <c r="H1" s="483"/>
      <c r="I1" s="483"/>
      <c r="J1" s="483"/>
      <c r="K1" s="483"/>
      <c r="L1" s="483"/>
      <c r="M1" s="20"/>
    </row>
    <row r="2" spans="1:13" ht="18" customHeight="1">
      <c r="A2" s="478" t="s">
        <v>342</v>
      </c>
      <c r="B2" s="479"/>
      <c r="C2" s="479"/>
      <c r="D2" s="479"/>
      <c r="E2" s="479"/>
      <c r="F2" s="458" t="s">
        <v>448</v>
      </c>
      <c r="G2" s="458"/>
      <c r="H2" s="458"/>
      <c r="I2" s="458"/>
      <c r="J2" s="458"/>
      <c r="K2" s="458"/>
      <c r="L2" s="458"/>
      <c r="M2" s="11"/>
    </row>
    <row r="3" spans="1:13" s="75" customFormat="1" ht="15" customHeight="1">
      <c r="A3" s="474" t="s">
        <v>831</v>
      </c>
      <c r="B3" s="475"/>
      <c r="C3" s="475"/>
      <c r="D3" s="475"/>
      <c r="E3" s="4" t="s">
        <v>815</v>
      </c>
      <c r="F3" s="21"/>
      <c r="G3" s="476" t="s">
        <v>832</v>
      </c>
      <c r="H3" s="476"/>
      <c r="I3" s="476"/>
      <c r="J3" s="476"/>
      <c r="K3" s="476"/>
      <c r="L3" s="67" t="s">
        <v>447</v>
      </c>
      <c r="M3" s="21"/>
    </row>
    <row r="4" spans="1:13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  <c r="M4" s="22"/>
    </row>
    <row r="5" spans="1:10" s="11" customFormat="1" ht="3.75" customHeight="1">
      <c r="A5" s="160"/>
      <c r="B5" s="159"/>
      <c r="C5" s="160"/>
      <c r="D5" s="160"/>
      <c r="E5" s="160"/>
      <c r="F5" s="160"/>
      <c r="G5" s="160"/>
      <c r="H5" s="160"/>
      <c r="I5" s="160"/>
      <c r="J5" s="160"/>
    </row>
    <row r="6" spans="1:12" ht="52.5">
      <c r="A6" s="174" t="s">
        <v>190</v>
      </c>
      <c r="B6" s="282">
        <f>'表25(續1)'!B5/'表25'!B5*100</f>
        <v>0.21254805129212379</v>
      </c>
      <c r="C6" s="283">
        <f>'表25(續1)'!C5/'表25'!C5*100</f>
        <v>0.27474513773407566</v>
      </c>
      <c r="D6" s="283">
        <f>'表25(續1)'!D5/'表25'!D5*100</f>
        <v>0.234192037470726</v>
      </c>
      <c r="E6" s="283">
        <f>'表25(續1)'!E5/'表25'!E5*100</f>
        <v>0.18355945730247406</v>
      </c>
      <c r="F6" s="283">
        <f>'表25(續1)'!F5/'表25'!F5*100</f>
        <v>0.21357380161366873</v>
      </c>
      <c r="G6" s="283">
        <f>'表25(續1)'!G5/'表25'!G5*100</f>
        <v>0.26171782060433024</v>
      </c>
      <c r="H6" s="283">
        <f>'表25(續1)'!H5/'表25'!H5*100</f>
        <v>0.22375781507074696</v>
      </c>
      <c r="I6" s="283">
        <f>'表25(續1)'!I5/'表25'!I5*100</f>
        <v>0.28518216738447216</v>
      </c>
      <c r="J6" s="283">
        <f>'表25(續1)'!J5/'表25'!J5*100</f>
        <v>0.225637272838151</v>
      </c>
      <c r="K6" s="283">
        <f>'表25(續1)'!K5/'表25'!K5*100</f>
        <v>0</v>
      </c>
      <c r="L6" s="283">
        <f>'表25(續1)'!L5/'表25'!L5*100</f>
        <v>0.2344901514136406</v>
      </c>
    </row>
    <row r="7" spans="1:13" ht="52.5">
      <c r="A7" s="174" t="s">
        <v>364</v>
      </c>
      <c r="B7" s="282">
        <f>'表25(續1)'!B6/'表25'!B5*100</f>
        <v>0.14169870086141587</v>
      </c>
      <c r="C7" s="283">
        <f>'表25(續1)'!C6/'表25'!C5*100</f>
        <v>0.24582459691996242</v>
      </c>
      <c r="D7" s="283">
        <f>'表25(續1)'!D6/'表25'!D5*100</f>
        <v>0</v>
      </c>
      <c r="E7" s="283">
        <f>'表25(續1)'!E6/'表25'!E5*100</f>
        <v>0</v>
      </c>
      <c r="F7" s="283">
        <f>'表25(續1)'!F6/'表25'!F5*100</f>
        <v>0.15029267520961873</v>
      </c>
      <c r="G7" s="283">
        <f>'表25(續1)'!G6/'表25'!G5*100</f>
        <v>0</v>
      </c>
      <c r="H7" s="283">
        <f>'表25(續1)'!H6/'表25'!H5*100</f>
        <v>0</v>
      </c>
      <c r="I7" s="283">
        <f>'表25(續1)'!I6/'表25'!I5*100</f>
        <v>0.5179839366779188</v>
      </c>
      <c r="J7" s="283">
        <f>'表25(續1)'!J6/'表25'!J5*100</f>
        <v>0.3597999756067813</v>
      </c>
      <c r="K7" s="300">
        <v>0</v>
      </c>
      <c r="L7" s="283">
        <f>'表25(續1)'!L6/'表25'!L5*100</f>
        <v>0</v>
      </c>
      <c r="M7" s="11"/>
    </row>
    <row r="8" spans="1:13" s="86" customFormat="1" ht="15.75">
      <c r="A8" s="153" t="s">
        <v>329</v>
      </c>
      <c r="B8" s="282">
        <f>'表25(續1)'!B7/'表25'!B5*100</f>
        <v>0.17045932826398047</v>
      </c>
      <c r="C8" s="283">
        <f>'表25(續1)'!C7/'表25'!C5*100</f>
        <v>0.15183283927409444</v>
      </c>
      <c r="D8" s="283">
        <f>'表25(續1)'!D7/'表25'!D5*100</f>
        <v>0.16480180414606643</v>
      </c>
      <c r="E8" s="283">
        <f>'表25(續1)'!E7/'表25'!E5*100</f>
        <v>0.20750199521149243</v>
      </c>
      <c r="F8" s="283">
        <f>'表25(續1)'!F7/'表25'!F5*100</f>
        <v>0</v>
      </c>
      <c r="G8" s="283">
        <f>'表25(續1)'!G7/'表25'!G5*100</f>
        <v>0.34895709413910697</v>
      </c>
      <c r="H8" s="283">
        <f>'表25(續1)'!H7/'表25'!H5*100</f>
        <v>0.0855544587035209</v>
      </c>
      <c r="I8" s="283">
        <f>'表25(續1)'!I7/'表25'!I5*100</f>
        <v>0.1687812827377488</v>
      </c>
      <c r="J8" s="283">
        <f>'表25(續1)'!J7/'表25'!J5*100</f>
        <v>0.39638980363458953</v>
      </c>
      <c r="K8" s="283">
        <f>'表25(續1)'!K7/'表25'!K5*100</f>
        <v>0.09545628102329133</v>
      </c>
      <c r="L8" s="283">
        <f>'表25(續1)'!L7/'表25'!L5*100</f>
        <v>0.07369690473000134</v>
      </c>
      <c r="M8" s="14"/>
    </row>
    <row r="9" spans="1:13" ht="27">
      <c r="A9" s="153" t="s">
        <v>330</v>
      </c>
      <c r="B9" s="282">
        <f>'表25(續1)'!B8/'表25'!B5*100</f>
        <v>0</v>
      </c>
      <c r="C9" s="283">
        <f>'表25(續1)'!C8/'表25'!C5*100</f>
        <v>0</v>
      </c>
      <c r="D9" s="283">
        <f>'表25(續1)'!D8/'表25'!D5*100</f>
        <v>0</v>
      </c>
      <c r="E9" s="283">
        <f>'表25(續1)'!E8/'表25'!E5*100</f>
        <v>0</v>
      </c>
      <c r="F9" s="283">
        <f>'表25(續1)'!F8/'表25'!F5*100</f>
        <v>0</v>
      </c>
      <c r="G9" s="283">
        <f>'表25(續1)'!G8/'表25'!G5*100</f>
        <v>0</v>
      </c>
      <c r="H9" s="283">
        <f>'表25(續1)'!H8/'表25'!H5*100</f>
        <v>0</v>
      </c>
      <c r="I9" s="283">
        <f>'表25(續1)'!I8/'表25'!I5*100</f>
        <v>0</v>
      </c>
      <c r="J9" s="283">
        <f>'表25(續1)'!J8/'表25'!J5*100</f>
        <v>0</v>
      </c>
      <c r="K9" s="283">
        <f>'表25(續1)'!K8/'表25'!K5*100</f>
        <v>0</v>
      </c>
      <c r="L9" s="283">
        <f>'表25(續1)'!L8/'表25'!L5*100</f>
        <v>0</v>
      </c>
      <c r="M9" s="11"/>
    </row>
    <row r="10" spans="1:13" ht="15.75">
      <c r="A10" s="171" t="s">
        <v>331</v>
      </c>
      <c r="B10" s="282">
        <f>'表25(續1)'!B9/'表25'!B5*100</f>
        <v>0.911220853559303</v>
      </c>
      <c r="C10" s="283">
        <f>'表25(續1)'!C9/'表25'!C5*100</f>
        <v>0</v>
      </c>
      <c r="D10" s="283">
        <f>'表25(續1)'!D9/'表25'!D5*100</f>
        <v>2.4893746205221614</v>
      </c>
      <c r="E10" s="300">
        <v>0</v>
      </c>
      <c r="F10" s="300">
        <v>0</v>
      </c>
      <c r="G10" s="283">
        <f>'表25(續1)'!G9/'表25'!G5*100</f>
        <v>1.9034023316678563</v>
      </c>
      <c r="H10" s="283">
        <f>'表25(續1)'!H9/'表25'!H5*100</f>
        <v>1.7769002961500493</v>
      </c>
      <c r="I10" s="283">
        <f>'表25(續1)'!I9/'表25'!I5*100</f>
        <v>0.7100453963450122</v>
      </c>
      <c r="J10" s="283">
        <f>'表25(續1)'!J9/'表25'!J5*100</f>
        <v>0.9757287474082206</v>
      </c>
      <c r="K10" s="283">
        <f>'表25(續1)'!K9/'表25'!K5*100</f>
        <v>0.5854651902761868</v>
      </c>
      <c r="L10" s="283">
        <f>'表25(續1)'!L9/'表25'!L5*100</f>
        <v>0.8039662334181965</v>
      </c>
      <c r="M10" s="11"/>
    </row>
    <row r="11" spans="1:13" ht="15.75">
      <c r="A11" s="153" t="s">
        <v>345</v>
      </c>
      <c r="B11" s="282">
        <f>'表25(續1)'!B10/'表25'!B5*100</f>
        <v>1.1869019893936417</v>
      </c>
      <c r="C11" s="283">
        <f>'表25(續1)'!C10/'表25'!C5*100</f>
        <v>0.9616079820692647</v>
      </c>
      <c r="D11" s="283">
        <f>'表25(續1)'!D10/'表25'!D5*100</f>
        <v>0.2515395958018909</v>
      </c>
      <c r="E11" s="300">
        <v>0</v>
      </c>
      <c r="F11" s="283">
        <f>'表25(續1)'!F10/'表25'!F5*100</f>
        <v>0.5220692928334125</v>
      </c>
      <c r="G11" s="283">
        <f>'表25(續1)'!G10/'表25'!G5*100</f>
        <v>1.4751368070425885</v>
      </c>
      <c r="H11" s="283">
        <f>'表25(續1)'!H10/'表25'!H5*100</f>
        <v>1.441263573543929</v>
      </c>
      <c r="I11" s="283">
        <f>'表25(續1)'!I10/'表25'!I5*100</f>
        <v>2.3047375160051216</v>
      </c>
      <c r="J11" s="283">
        <f>'表25(續1)'!J10/'表25'!J5*100</f>
        <v>1.4574948164410293</v>
      </c>
      <c r="K11" s="283">
        <f>'表25(續1)'!K10/'表25'!K5*100</f>
        <v>1.463662975690467</v>
      </c>
      <c r="L11" s="283">
        <f>'表25(續1)'!L10/'表25'!L5*100</f>
        <v>1.2930456920809326</v>
      </c>
      <c r="M11" s="11"/>
    </row>
    <row r="12" spans="1:13" ht="52.5">
      <c r="A12" s="153" t="s">
        <v>332</v>
      </c>
      <c r="B12" s="282">
        <f>'表25(續1)'!B11/'表25'!B5*100</f>
        <v>0.15081792418418025</v>
      </c>
      <c r="C12" s="283">
        <f>'表25(續1)'!C11/'表25'!C5*100</f>
        <v>0</v>
      </c>
      <c r="D12" s="283">
        <f>'表25(續1)'!D11/'表25'!D5*100</f>
        <v>0.078064012490242</v>
      </c>
      <c r="E12" s="283">
        <f>'表25(續1)'!E11/'表25'!E5*100</f>
        <v>0.5506783719074222</v>
      </c>
      <c r="F12" s="283">
        <v>0</v>
      </c>
      <c r="G12" s="300">
        <v>0</v>
      </c>
      <c r="H12" s="283">
        <f>'表25(續1)'!H11/'表25'!H5*100</f>
        <v>0.2895689371503784</v>
      </c>
      <c r="I12" s="283">
        <f>'表25(續1)'!I11/'表25'!I5*100</f>
        <v>0.13386101734373182</v>
      </c>
      <c r="J12" s="300">
        <v>0</v>
      </c>
      <c r="K12" s="300">
        <v>0</v>
      </c>
      <c r="L12" s="283">
        <f>'表25(續1)'!L11/'表25'!L5*100</f>
        <v>0.3617848050381884</v>
      </c>
      <c r="M12" s="11"/>
    </row>
    <row r="13" spans="1:13" ht="27">
      <c r="A13" s="153" t="s">
        <v>333</v>
      </c>
      <c r="B13" s="301">
        <f>'表25(續1)'!B12/'表25'!B5*100</f>
        <v>0.046999074048093385</v>
      </c>
      <c r="C13" s="283">
        <f>'表25(續1)'!C12/'表25'!C5*100</f>
        <v>0.1301424336635095</v>
      </c>
      <c r="D13" s="283">
        <f>'表25(續1)'!D12/'表25'!D5*100</f>
        <v>0</v>
      </c>
      <c r="E13" s="283">
        <f>'表25(續1)'!E12/'表25'!E5*100</f>
        <v>0</v>
      </c>
      <c r="F13" s="283">
        <f>'表25(續1)'!F12/'表25'!F5*100</f>
        <v>0.07910140800506249</v>
      </c>
      <c r="G13" s="300">
        <v>0</v>
      </c>
      <c r="H13" s="283">
        <f>'表25(續1)'!H12/'表25'!H5*100</f>
        <v>0.06581112207963145</v>
      </c>
      <c r="I13" s="283">
        <f>'表25(續1)'!I12/'表25'!I5*100</f>
        <v>0</v>
      </c>
      <c r="J13" s="283">
        <f>'表25(續1)'!J12/'表25'!J5*100</f>
        <v>0.10976948408342481</v>
      </c>
      <c r="K13" s="283">
        <f>'表25(續1)'!K12/'表25'!K5*100</f>
        <v>0</v>
      </c>
      <c r="L13" s="283">
        <f>'表25(續1)'!L12/'表25'!L5*100</f>
        <v>0.06029746750636473</v>
      </c>
      <c r="M13" s="11"/>
    </row>
    <row r="14" spans="1:13" ht="15.75">
      <c r="A14" s="153" t="s">
        <v>855</v>
      </c>
      <c r="B14" s="282">
        <f>'表25(續1)'!B13/'表25'!B5*100</f>
        <v>0.8656247369454811</v>
      </c>
      <c r="C14" s="283">
        <f>'表25(續1)'!C13/'表25'!C5*100</f>
        <v>0.09399175764586798</v>
      </c>
      <c r="D14" s="283">
        <f>'表25(續1)'!D13/'表25'!D5*100</f>
        <v>0.5637956457628589</v>
      </c>
      <c r="E14" s="283">
        <f>'表25(續1)'!E13/'表25'!E5*100</f>
        <v>1.157222665602554</v>
      </c>
      <c r="F14" s="283">
        <f>'表25(續1)'!F13/'表25'!F5*100</f>
        <v>1.210251542477456</v>
      </c>
      <c r="G14" s="283">
        <f>'表25(續1)'!G13/'表25'!G5*100</f>
        <v>1.3244507891188833</v>
      </c>
      <c r="H14" s="283">
        <f>'表25(續1)'!H13/'表25'!H5*100</f>
        <v>0.8555445870352089</v>
      </c>
      <c r="I14" s="283">
        <f>'表25(續1)'!I13/'表25'!I5*100</f>
        <v>0.8089861482947271</v>
      </c>
      <c r="J14" s="283">
        <f>'表25(續1)'!J13/'表25'!J5*100</f>
        <v>1.0123185754360287</v>
      </c>
      <c r="K14" s="283">
        <f>'表25(續1)'!K13/'表25'!K5*100</f>
        <v>0.8018327605956471</v>
      </c>
      <c r="L14" s="283">
        <f>'表25(續1)'!L13/'表25'!L5*100</f>
        <v>0.8709634195363796</v>
      </c>
      <c r="M14" s="11"/>
    </row>
    <row r="15" spans="1:13" ht="15.75">
      <c r="A15" s="153" t="s">
        <v>856</v>
      </c>
      <c r="B15" s="282">
        <f>'表25(續1)'!B14/'表25'!B5*100</f>
        <v>1.3166755520637503</v>
      </c>
      <c r="C15" s="283">
        <f>'表25(續1)'!C14/'表25'!C5*100</f>
        <v>0.6651724387246041</v>
      </c>
      <c r="D15" s="283">
        <f>'表25(續1)'!D14/'表25'!D5*100</f>
        <v>1.6653655997918293</v>
      </c>
      <c r="E15" s="283">
        <f>'表25(續1)'!E14/'表25'!E5*100</f>
        <v>0.09577015163607343</v>
      </c>
      <c r="F15" s="283">
        <f>'表25(續1)'!F14/'表25'!F5*100</f>
        <v>0.7435532352475874</v>
      </c>
      <c r="G15" s="283">
        <f>'表25(續1)'!G14/'表25'!G5*100</f>
        <v>0.6661908160837497</v>
      </c>
      <c r="H15" s="283">
        <f>'表25(續1)'!H14/'表25'!H5*100</f>
        <v>0.7041790062520566</v>
      </c>
      <c r="I15" s="283">
        <f>'表25(續1)'!I14/'表25'!I5*100</f>
        <v>0.7857059713653823</v>
      </c>
      <c r="J15" s="283">
        <f>'表25(續1)'!J14/'表25'!J5*100</f>
        <v>3.457738748627882</v>
      </c>
      <c r="K15" s="283">
        <f>'表25(續1)'!K14/'表25'!K5*100</f>
        <v>1.8709431080565102</v>
      </c>
      <c r="L15" s="283">
        <f>'表25(續1)'!L14/'表25'!L5*100</f>
        <v>2.009915583545491</v>
      </c>
      <c r="M15" s="11"/>
    </row>
    <row r="16" spans="1:13" ht="39.75">
      <c r="A16" s="153" t="s">
        <v>334</v>
      </c>
      <c r="B16" s="282">
        <f>'表25(續1)'!B15/'表25'!B5*100</f>
        <v>0.061730127107943546</v>
      </c>
      <c r="C16" s="283">
        <f>'表25(續1)'!C15/'表25'!C5*100</f>
        <v>0.636251897910491</v>
      </c>
      <c r="D16" s="283">
        <f>'表25(續1)'!D15/'表25'!D5*100</f>
        <v>0</v>
      </c>
      <c r="E16" s="283">
        <f>'表25(續1)'!E15/'表25'!E5*100</f>
        <v>0</v>
      </c>
      <c r="F16" s="283">
        <f>'表25(續1)'!F15/'表25'!F5*100</f>
        <v>0</v>
      </c>
      <c r="G16" s="283">
        <f>'表25(續1)'!G15/'表25'!G5*100</f>
        <v>0</v>
      </c>
      <c r="H16" s="283">
        <f>'表25(續1)'!H15/'表25'!H5*100</f>
        <v>0</v>
      </c>
      <c r="I16" s="283">
        <f>'表25(續1)'!I15/'表25'!I5*100</f>
        <v>0</v>
      </c>
      <c r="J16" s="283">
        <f>'表25(續1)'!J15/'表25'!J5*100</f>
        <v>0</v>
      </c>
      <c r="K16" s="283">
        <f>'表25(續1)'!K15/'表25'!K5*100</f>
        <v>0</v>
      </c>
      <c r="L16" s="283">
        <f>'表25(續1)'!L15/'表25'!L5*100</f>
        <v>0</v>
      </c>
      <c r="M16" s="11"/>
    </row>
    <row r="17" spans="1:13" ht="39.75">
      <c r="A17" s="153" t="s">
        <v>344</v>
      </c>
      <c r="B17" s="282">
        <f>'表25(續1)'!B16/'表25'!B5*100</f>
        <v>0.22377171076629535</v>
      </c>
      <c r="C17" s="283">
        <f>'表25(續1)'!C16/'表25'!C5*100</f>
        <v>0</v>
      </c>
      <c r="D17" s="283">
        <f>'表25(續1)'!D16/'表25'!D5*100</f>
        <v>0</v>
      </c>
      <c r="E17" s="283">
        <f>'表25(續1)'!E16/'表25'!E5*100</f>
        <v>0</v>
      </c>
      <c r="F17" s="283">
        <f>'表25(續1)'!F16/'表25'!F5*100</f>
        <v>0</v>
      </c>
      <c r="G17" s="283">
        <f>'表25(續1)'!G16/'表25'!G5*100</f>
        <v>0</v>
      </c>
      <c r="H17" s="283">
        <f>'表25(續1)'!H16/'表25'!H5*100</f>
        <v>0</v>
      </c>
      <c r="I17" s="283">
        <f>'表25(續1)'!I16/'表25'!I5*100</f>
        <v>0.5994645559306251</v>
      </c>
      <c r="J17" s="283">
        <f>'表25(續1)'!J16/'表25'!J5*100</f>
        <v>1.305037199658495</v>
      </c>
      <c r="K17" s="300">
        <v>0</v>
      </c>
      <c r="L17" s="283">
        <f>'表25(續1)'!L16/'表25'!L5*100</f>
        <v>0</v>
      </c>
      <c r="M17" s="11"/>
    </row>
    <row r="18" spans="1:13" ht="39.75">
      <c r="A18" s="153" t="s">
        <v>335</v>
      </c>
      <c r="B18" s="282">
        <f>'表25(續1)'!B17/'表25'!B5*100</f>
        <v>1.6646089957630685</v>
      </c>
      <c r="C18" s="300">
        <v>0</v>
      </c>
      <c r="D18" s="283">
        <f>'表25(續1)'!D17/'表25'!D5*100</f>
        <v>0.607164541590771</v>
      </c>
      <c r="E18" s="283">
        <f>'表25(續1)'!E17/'表25'!E5*100</f>
        <v>0</v>
      </c>
      <c r="F18" s="300">
        <v>0</v>
      </c>
      <c r="G18" s="283">
        <f>'表25(續1)'!G17/'表25'!G5*100</f>
        <v>0</v>
      </c>
      <c r="H18" s="283">
        <f>'表25(續1)'!H17/'表25'!H5*100</f>
        <v>0</v>
      </c>
      <c r="I18" s="283">
        <f>'表25(續1)'!I17/'表25'!I5*100</f>
        <v>4.702595739727622</v>
      </c>
      <c r="J18" s="283">
        <f>'表25(續1)'!J17/'表25'!J5*100</f>
        <v>0.31711184290767164</v>
      </c>
      <c r="K18" s="283">
        <f>'表25(續1)'!K17/'表25'!K5*100</f>
        <v>2.8382334224258625</v>
      </c>
      <c r="L18" s="283">
        <f>'表25(續1)'!L17/'表25'!L5*100</f>
        <v>6.666220018759213</v>
      </c>
      <c r="M18" s="11"/>
    </row>
    <row r="19" spans="1:13" ht="15.75">
      <c r="A19" s="175" t="s">
        <v>857</v>
      </c>
      <c r="B19" s="282">
        <f>'表25(續1)'!B18/'表25'!B5*100</f>
        <v>0.3388142203765538</v>
      </c>
      <c r="C19" s="283">
        <f>'表25(續1)'!C18/'表25'!C5*100</f>
        <v>0</v>
      </c>
      <c r="D19" s="283">
        <f>'表25(續1)'!D18/'表25'!D5*100</f>
        <v>1.604649145632752</v>
      </c>
      <c r="E19" s="283">
        <f>'表25(續1)'!E18/'表25'!E5*100</f>
        <v>0</v>
      </c>
      <c r="F19" s="283">
        <f>'表25(續1)'!F18/'表25'!F5*100</f>
        <v>0.8622053472551812</v>
      </c>
      <c r="G19" s="300">
        <v>0</v>
      </c>
      <c r="H19" s="283">
        <f>'表25(續1)'!H18/'表25'!H5*100</f>
        <v>0.22375781507074696</v>
      </c>
      <c r="I19" s="283">
        <f>'表25(續1)'!I18/'表25'!I5*100</f>
        <v>0.33174252124316145</v>
      </c>
      <c r="J19" s="283">
        <f>'表25(續1)'!J18/'表25'!J5*100</f>
        <v>0.21953896816684962</v>
      </c>
      <c r="K19" s="283">
        <f>'表25(續1)'!K18/'表25'!K5*100</f>
        <v>0.2609138347969963</v>
      </c>
      <c r="L19" s="283">
        <f>'表25(續1)'!L18/'表25'!L5*100</f>
        <v>0.12729465362454778</v>
      </c>
      <c r="M19" s="11"/>
    </row>
    <row r="20" spans="1:13" ht="27">
      <c r="A20" s="153" t="s">
        <v>858</v>
      </c>
      <c r="B20" s="282">
        <f>'表25(續1)'!B19/'表25'!B5*100</f>
        <v>0.11574398832739416</v>
      </c>
      <c r="C20" s="283">
        <f>'表25(續1)'!C19/'表25'!C5*100</f>
        <v>0</v>
      </c>
      <c r="D20" s="283">
        <f>'表25(續1)'!D19/'表25'!D5*100</f>
        <v>0</v>
      </c>
      <c r="E20" s="283">
        <f>'表25(續1)'!E19/'表25'!E5*100</f>
        <v>0.8300079808459697</v>
      </c>
      <c r="F20" s="300">
        <v>0</v>
      </c>
      <c r="G20" s="283">
        <f>'表25(續1)'!G19/'表25'!G5*100</f>
        <v>0.29344119279879455</v>
      </c>
      <c r="H20" s="283">
        <f>'表25(續1)'!H19/'表25'!H5*100</f>
        <v>0.1316222441592629</v>
      </c>
      <c r="I20" s="283">
        <f>'表25(續1)'!I19/'表25'!I5*100</f>
        <v>0</v>
      </c>
      <c r="J20" s="283">
        <f>'表25(續1)'!J19/'表25'!J5*100</f>
        <v>0</v>
      </c>
      <c r="K20" s="283">
        <f>'表25(續1)'!K19/'表25'!K5*100</f>
        <v>0</v>
      </c>
      <c r="L20" s="283">
        <f>'表25(續1)'!L19/'表25'!L5*100</f>
        <v>0</v>
      </c>
      <c r="M20" s="11"/>
    </row>
    <row r="21" spans="1:13" ht="39.75">
      <c r="A21" s="153" t="s">
        <v>336</v>
      </c>
      <c r="B21" s="301">
        <f>'表25(續1)'!B20/'表25'!B5*100</f>
        <v>0.032969499705378935</v>
      </c>
      <c r="C21" s="283">
        <f>'表25(續1)'!C20/'表25'!C5*100</f>
        <v>0</v>
      </c>
      <c r="D21" s="283">
        <f>'表25(續1)'!D20/'表25'!D5*100</f>
        <v>0</v>
      </c>
      <c r="E21" s="283">
        <f>'表25(續1)'!E20/'表25'!E5*100</f>
        <v>0</v>
      </c>
      <c r="F21" s="283">
        <f>'表25(續1)'!F20/'表25'!F5*100</f>
        <v>0</v>
      </c>
      <c r="G21" s="283">
        <f>'表25(續1)'!G20/'表25'!G5*100</f>
        <v>0</v>
      </c>
      <c r="H21" s="283">
        <f>'表25(續1)'!H20/'表25'!H5*100</f>
        <v>0.16452780519907864</v>
      </c>
      <c r="I21" s="283">
        <f>'表25(續1)'!I20/'表25'!I5*100</f>
        <v>0.12804097311139565</v>
      </c>
      <c r="J21" s="283">
        <f>'表25(續1)'!J20/'表25'!J5*100</f>
        <v>0</v>
      </c>
      <c r="K21" s="283">
        <f>'表25(續1)'!K20/'表25'!K5*100</f>
        <v>0</v>
      </c>
      <c r="L21" s="283">
        <f>'表25(續1)'!L20/'表25'!L5*100</f>
        <v>0</v>
      </c>
      <c r="M21" s="11"/>
    </row>
    <row r="22" spans="1:13" ht="39.75">
      <c r="A22" s="174" t="s">
        <v>343</v>
      </c>
      <c r="B22" s="301">
        <f>'表25(續1)'!B21/'表25'!B5*100</f>
        <v>0.0477005527652291</v>
      </c>
      <c r="C22" s="283">
        <f>'表25(續1)'!C21/'表25'!C5*100</f>
        <v>0</v>
      </c>
      <c r="D22" s="283">
        <f>'表25(續1)'!D21/'表25'!D5*100</f>
        <v>0</v>
      </c>
      <c r="E22" s="283">
        <f>'表25(續1)'!E21/'表25'!E5*100</f>
        <v>0</v>
      </c>
      <c r="F22" s="283">
        <f>'表25(續1)'!F21/'表25'!F5*100</f>
        <v>0</v>
      </c>
      <c r="G22" s="283">
        <f>'表25(續1)'!G21/'表25'!G5*100</f>
        <v>0</v>
      </c>
      <c r="H22" s="283">
        <f>'表25(續1)'!H21/'表25'!H5*100</f>
        <v>0.43435340572556763</v>
      </c>
      <c r="I22" s="283">
        <v>0</v>
      </c>
      <c r="J22" s="283">
        <f>'表25(續1)'!J21/'表25'!J5*100</f>
        <v>0</v>
      </c>
      <c r="K22" s="300">
        <v>0</v>
      </c>
      <c r="L22" s="283">
        <f>'表25(續1)'!L21/'表25'!L5*100</f>
        <v>0</v>
      </c>
      <c r="M22" s="14"/>
    </row>
    <row r="23" spans="1:13" ht="39.75">
      <c r="A23" s="339" t="s">
        <v>771</v>
      </c>
      <c r="B23" s="341">
        <f>'表25(續1)'!B22/'表25'!B5*100</f>
        <v>0.0603271696736721</v>
      </c>
      <c r="C23" s="342">
        <f>'表25(續1)'!C22/'表25'!C5*100</f>
        <v>0</v>
      </c>
      <c r="D23" s="342">
        <f>'表25(續1)'!D22/'表25'!D5*100</f>
        <v>0</v>
      </c>
      <c r="E23" s="342">
        <f>'表25(續1)'!E22/'表25'!E5*100</f>
        <v>0</v>
      </c>
      <c r="F23" s="342">
        <f>'表25(續1)'!F22/'表25'!F5*100</f>
        <v>0</v>
      </c>
      <c r="G23" s="342">
        <f>'表25(續1)'!G22/'表25'!G5*100</f>
        <v>0</v>
      </c>
      <c r="H23" s="342">
        <f>'表25(續1)'!H22/'表25'!H5*100</f>
        <v>0</v>
      </c>
      <c r="I23" s="342">
        <f>'表25(續1)'!I22/'表25'!I5*100</f>
        <v>0</v>
      </c>
      <c r="J23" s="342">
        <f>'表25(續1)'!J22/'表25'!J5*100</f>
        <v>0</v>
      </c>
      <c r="K23" s="342">
        <f>'表25(續1)'!K22/'表25'!K5*100</f>
        <v>0.5409189257986509</v>
      </c>
      <c r="L23" s="343">
        <f>'表25(續1)'!L22/'表25'!L5*100</f>
        <v>0.006699718611818304</v>
      </c>
      <c r="M23" s="14"/>
    </row>
    <row r="24" spans="1:13" s="86" customFormat="1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33" spans="1:12" ht="15.75">
      <c r="A33" s="458" t="str">
        <f>"- "&amp;Sheet1!D27&amp;" -"</f>
        <v>- 164 -</v>
      </c>
      <c r="B33" s="458"/>
      <c r="C33" s="458"/>
      <c r="D33" s="458"/>
      <c r="E33" s="458"/>
      <c r="F33" s="458" t="str">
        <f>"- "&amp;Sheet1!E27&amp;" -"</f>
        <v>- 165 -</v>
      </c>
      <c r="G33" s="458"/>
      <c r="H33" s="458"/>
      <c r="I33" s="458"/>
      <c r="J33" s="458"/>
      <c r="K33" s="458"/>
      <c r="L33" s="458"/>
    </row>
    <row r="44" ht="15.75">
      <c r="A44" s="328"/>
    </row>
  </sheetData>
  <sheetProtection/>
  <mergeCells count="8">
    <mergeCell ref="A33:E33"/>
    <mergeCell ref="F33:L33"/>
    <mergeCell ref="F2:L2"/>
    <mergeCell ref="G3:K3"/>
    <mergeCell ref="A1:E1"/>
    <mergeCell ref="A2:E2"/>
    <mergeCell ref="A3:D3"/>
    <mergeCell ref="F1:L1"/>
  </mergeCells>
  <printOptions/>
  <pageMargins left="0.7086614173228347" right="0.7086614173228347" top="0.7480314960629921" bottom="0.0148809523809523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4"/>
  <sheetViews>
    <sheetView view="pageLayout" zoomScaleNormal="75" zoomScaleSheetLayoutView="85" workbookViewId="0" topLeftCell="A22">
      <selection activeCell="A38" sqref="A38:E38"/>
    </sheetView>
  </sheetViews>
  <sheetFormatPr defaultColWidth="9.00390625" defaultRowHeight="16.5"/>
  <cols>
    <col min="1" max="1" width="38.375" style="79" customWidth="1"/>
    <col min="2" max="5" width="11.125" style="79" customWidth="1"/>
    <col min="6" max="12" width="11.375" style="79" customWidth="1"/>
    <col min="13" max="16384" width="9.00390625" style="79" customWidth="1"/>
  </cols>
  <sheetData>
    <row r="1" spans="1:12" s="80" customFormat="1" ht="18" customHeight="1">
      <c r="A1" s="459" t="s">
        <v>294</v>
      </c>
      <c r="B1" s="459"/>
      <c r="C1" s="459"/>
      <c r="D1" s="459"/>
      <c r="E1" s="459"/>
      <c r="F1" s="483" t="s">
        <v>295</v>
      </c>
      <c r="G1" s="483"/>
      <c r="H1" s="483"/>
      <c r="I1" s="483"/>
      <c r="J1" s="483"/>
      <c r="K1" s="483"/>
      <c r="L1" s="483"/>
    </row>
    <row r="2" spans="1:12" ht="18" customHeight="1">
      <c r="A2" s="479" t="s">
        <v>342</v>
      </c>
      <c r="B2" s="479"/>
      <c r="C2" s="479"/>
      <c r="D2" s="479"/>
      <c r="E2" s="479"/>
      <c r="F2" s="458" t="s">
        <v>448</v>
      </c>
      <c r="G2" s="458"/>
      <c r="H2" s="458"/>
      <c r="I2" s="458"/>
      <c r="J2" s="458"/>
      <c r="K2" s="458"/>
      <c r="L2" s="458"/>
    </row>
    <row r="3" spans="1:12" s="75" customFormat="1" ht="15" customHeight="1">
      <c r="A3" s="474" t="s">
        <v>831</v>
      </c>
      <c r="B3" s="475"/>
      <c r="C3" s="475"/>
      <c r="D3" s="475"/>
      <c r="E3" s="4" t="s">
        <v>815</v>
      </c>
      <c r="F3" s="21"/>
      <c r="G3" s="476" t="s">
        <v>832</v>
      </c>
      <c r="H3" s="476"/>
      <c r="I3" s="476"/>
      <c r="J3" s="476"/>
      <c r="K3" s="476"/>
      <c r="L3" s="67" t="s">
        <v>447</v>
      </c>
    </row>
    <row r="4" spans="1:12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0" s="11" customFormat="1" ht="3.75" customHeight="1">
      <c r="A5" s="160"/>
      <c r="B5" s="159"/>
      <c r="C5" s="160"/>
      <c r="D5" s="160"/>
      <c r="E5" s="160"/>
      <c r="F5" s="160"/>
      <c r="G5" s="160"/>
      <c r="H5" s="160"/>
      <c r="I5" s="160"/>
      <c r="J5" s="160"/>
    </row>
    <row r="6" spans="1:12" ht="27">
      <c r="A6" s="176" t="s">
        <v>346</v>
      </c>
      <c r="B6" s="280">
        <f>'表25(續完)'!B5/'表25'!B5*100</f>
        <v>35.95709756165998</v>
      </c>
      <c r="C6" s="281">
        <f>'表25(續完)'!C5/'表25'!C5*100</f>
        <v>45.26787650929072</v>
      </c>
      <c r="D6" s="281">
        <f>'表25(續完)'!D5/'表25'!D5*100</f>
        <v>57.1168358053604</v>
      </c>
      <c r="E6" s="281">
        <f>'表25(續完)'!E5/'表25'!E5*100</f>
        <v>49.425379090183554</v>
      </c>
      <c r="F6" s="281">
        <f>'表25(續完)'!F5/'表25'!F5*100</f>
        <v>42.0186679322892</v>
      </c>
      <c r="G6" s="281">
        <f>'表25(續完)'!G5/'表25'!G5*100</f>
        <v>39.749385359663734</v>
      </c>
      <c r="H6" s="281">
        <f>'表25(續完)'!H5/'表25'!H5*100</f>
        <v>32.00394866732478</v>
      </c>
      <c r="I6" s="281">
        <f>'表25(續完)'!I5/'表25'!I5*100</f>
        <v>22.93679431963683</v>
      </c>
      <c r="J6" s="281">
        <f>'表25(續完)'!J5/'表25'!J5*100</f>
        <v>22.71008659592633</v>
      </c>
      <c r="K6" s="281">
        <f>'表25(續完)'!K5/'表25'!K5*100</f>
        <v>28.885070637647956</v>
      </c>
      <c r="L6" s="281">
        <f>'表25(續完)'!L5/'表25'!L5*100</f>
        <v>32.35294117647059</v>
      </c>
    </row>
    <row r="7" spans="1:12" s="85" customFormat="1" ht="27">
      <c r="A7" s="153" t="s">
        <v>347</v>
      </c>
      <c r="B7" s="278">
        <f>'表25(續完)'!B6/'表25'!B5*100</f>
        <v>8.308313925755492</v>
      </c>
      <c r="C7" s="279">
        <f>'表25(續完)'!C6/'表25'!C5*100</f>
        <v>0</v>
      </c>
      <c r="D7" s="279">
        <f>'表25(續完)'!D6/'表25'!D5*100</f>
        <v>8.274785323965652</v>
      </c>
      <c r="E7" s="279">
        <f>'表25(續完)'!E6/'表25'!E5*100</f>
        <v>9.840383080606545</v>
      </c>
      <c r="F7" s="279">
        <f>'表25(續完)'!F6/'表25'!F5*100</f>
        <v>9.587090650213574</v>
      </c>
      <c r="G7" s="279">
        <f>'表25(續完)'!G6/'表25'!G5*100</f>
        <v>11.47592989134745</v>
      </c>
      <c r="H7" s="279">
        <f>'表25(續完)'!H6/'表25'!H5*100</f>
        <v>8.989799276077658</v>
      </c>
      <c r="I7" s="279">
        <f>'表25(續完)'!I6/'表25'!I5*100</f>
        <v>7.746478873239436</v>
      </c>
      <c r="J7" s="279">
        <f>'表25(續完)'!J6/'表25'!J5*100</f>
        <v>8.58641297719234</v>
      </c>
      <c r="K7" s="279">
        <f>'表25(續完)'!K6/'表25'!K5*100</f>
        <v>8.781977854142802</v>
      </c>
      <c r="L7" s="279">
        <f>'表25(續完)'!L6/'表25'!L5*100</f>
        <v>10.136674259681094</v>
      </c>
    </row>
    <row r="8" spans="1:12" ht="39.75">
      <c r="A8" s="153" t="s">
        <v>1006</v>
      </c>
      <c r="B8" s="278">
        <f>'表25(續完)'!B7/'表25'!B5*100</f>
        <v>11.937063329498583</v>
      </c>
      <c r="C8" s="279">
        <f>'表25(續完)'!C7/'表25'!C5*100</f>
        <v>12.638276335767479</v>
      </c>
      <c r="D8" s="279">
        <f>'表25(續完)'!D7/'表25'!D5*100</f>
        <v>15.846994535519126</v>
      </c>
      <c r="E8" s="279">
        <f>'表25(續完)'!E7/'表25'!E5*100</f>
        <v>12.761372705506785</v>
      </c>
      <c r="F8" s="279">
        <f>'表25(續完)'!F7/'表25'!F5*100</f>
        <v>13.154564151241892</v>
      </c>
      <c r="G8" s="279">
        <f>'表25(續完)'!G7/'表25'!G5*100</f>
        <v>12.554524545959236</v>
      </c>
      <c r="H8" s="279">
        <f>'表25(續完)'!H7/'表25'!H5*100</f>
        <v>11.181309641329385</v>
      </c>
      <c r="I8" s="279">
        <f>'表25(續完)'!I7/'表25'!I5*100</f>
        <v>9.53323245256664</v>
      </c>
      <c r="J8" s="279">
        <f>'表25(續完)'!J7/'表25'!J5*100</f>
        <v>10.159775582388097</v>
      </c>
      <c r="K8" s="279">
        <f>'表25(續完)'!K7/'表25'!K5*100</f>
        <v>11.512027491408935</v>
      </c>
      <c r="L8" s="279">
        <f>'表25(續完)'!L7/'表25'!L5*100</f>
        <v>11.958997722095672</v>
      </c>
    </row>
    <row r="9" spans="1:17" ht="39.75">
      <c r="A9" s="153" t="s">
        <v>1007</v>
      </c>
      <c r="B9" s="278">
        <f>'表25(續完)'!B8/'表25'!B5*100</f>
        <v>13.3610651252841</v>
      </c>
      <c r="C9" s="279">
        <f>'表25(續完)'!C8/'表25'!C5*100</f>
        <v>27.82879039838045</v>
      </c>
      <c r="D9" s="279">
        <f>'表25(續完)'!D8/'表25'!D5*100</f>
        <v>27.86885245901639</v>
      </c>
      <c r="E9" s="279">
        <f>'表25(續完)'!E8/'表25'!E5*100</f>
        <v>22.75339185953711</v>
      </c>
      <c r="F9" s="279">
        <f>'表25(續完)'!F8/'表25'!F5*100</f>
        <v>18.082581869957284</v>
      </c>
      <c r="G9" s="279">
        <f>'表25(續完)'!G8/'表25'!G5*100</f>
        <v>14.656197953842492</v>
      </c>
      <c r="H9" s="279">
        <f>'表25(續完)'!H8/'表25'!H5*100</f>
        <v>10.753537347811779</v>
      </c>
      <c r="I9" s="279">
        <f>'表25(續完)'!I8/'表25'!I5*100</f>
        <v>2.8751018507740658</v>
      </c>
      <c r="J9" s="279">
        <f>'表25(續完)'!J8/'表25'!J5*100</f>
        <v>2.774728625442127</v>
      </c>
      <c r="K9" s="279">
        <f>'表25(續完)'!K8/'表25'!K5*100</f>
        <v>7.101947308132875</v>
      </c>
      <c r="L9" s="279">
        <f>'表25(續完)'!L8/'表25'!L5*100</f>
        <v>8.716333913975612</v>
      </c>
      <c r="M9" s="85"/>
      <c r="N9" s="85"/>
      <c r="O9" s="85"/>
      <c r="P9" s="85"/>
      <c r="Q9" s="85"/>
    </row>
    <row r="10" spans="1:12" ht="39.75">
      <c r="A10" s="153" t="s">
        <v>348</v>
      </c>
      <c r="B10" s="278">
        <f>'表25(續完)'!B9/'表25'!B5*100</f>
        <v>1.9038132383063497</v>
      </c>
      <c r="C10" s="279">
        <f>'表25(續完)'!C9/'表25'!C5*100</f>
        <v>4.800809775142795</v>
      </c>
      <c r="D10" s="279">
        <f>'表25(續完)'!D9/'表25'!D5*100</f>
        <v>5.126203486859224</v>
      </c>
      <c r="E10" s="279">
        <f>'表25(續完)'!E9/'表25'!E5*100</f>
        <v>4.07023144453312</v>
      </c>
      <c r="F10" s="279">
        <f>'表25(續完)'!F9/'表25'!F5*100</f>
        <v>1.1944312608764436</v>
      </c>
      <c r="G10" s="279">
        <f>'表25(續完)'!G9/'表25'!G5*100</f>
        <v>1.062732968514553</v>
      </c>
      <c r="H10" s="279">
        <f>'表25(續完)'!H9/'表25'!H5*100</f>
        <v>1.0793024021059558</v>
      </c>
      <c r="I10" s="279">
        <f>'表25(續完)'!I9/'表25'!I5*100</f>
        <v>0.6751251309509952</v>
      </c>
      <c r="J10" s="279">
        <f>'表25(續完)'!J9/'表25'!J5*100</f>
        <v>0.6220270764727406</v>
      </c>
      <c r="K10" s="279">
        <f>'表25(續完)'!K9/'表25'!K5*100</f>
        <v>0.8527427771414026</v>
      </c>
      <c r="L10" s="279">
        <f>'表25(續完)'!L9/'表25'!L5*100</f>
        <v>0.991558354549109</v>
      </c>
    </row>
    <row r="11" spans="1:12" ht="27">
      <c r="A11" s="153" t="s">
        <v>772</v>
      </c>
      <c r="B11" s="278">
        <f>'表25(續完)'!B10/'表25'!B5*100</f>
        <v>0.446841942815455</v>
      </c>
      <c r="C11" s="279">
        <f>'表25(續完)'!C10/'表25'!C5*100</f>
        <v>0</v>
      </c>
      <c r="D11" s="279">
        <f>'表25(續完)'!D10/'表25'!D5*100</f>
        <v>0</v>
      </c>
      <c r="E11" s="279">
        <f>'表25(續完)'!E10/'表25'!E5*100</f>
        <v>0</v>
      </c>
      <c r="F11" s="279">
        <f>'表25(續完)'!F10/'表25'!F5*100</f>
        <v>0</v>
      </c>
      <c r="G11" s="279">
        <f>'表25(續完)'!G10/'表25'!G5*100</f>
        <v>0</v>
      </c>
      <c r="H11" s="279">
        <f>'表25(續完)'!H10/'表25'!H5*100</f>
        <v>0</v>
      </c>
      <c r="I11" s="279">
        <f>'表25(續完)'!I10/'表25'!I5*100</f>
        <v>2.106856012105692</v>
      </c>
      <c r="J11" s="279">
        <f>'表25(續完)'!J10/'表25'!J5*100</f>
        <v>0.5671423344310281</v>
      </c>
      <c r="K11" s="279">
        <f>'表25(續完)'!K10/'表25'!K5*100</f>
        <v>0.6363752068219423</v>
      </c>
      <c r="L11" s="279">
        <f>'表25(續完)'!L10/'表25'!L5*100</f>
        <v>0.5493769261691009</v>
      </c>
    </row>
    <row r="12" spans="1:12" ht="15.75">
      <c r="A12" s="175"/>
      <c r="B12" s="282"/>
      <c r="C12" s="283"/>
      <c r="D12" s="283"/>
      <c r="E12" s="283"/>
      <c r="F12" s="283"/>
      <c r="G12" s="283"/>
      <c r="H12" s="283"/>
      <c r="I12" s="283"/>
      <c r="J12" s="283"/>
      <c r="K12" s="283"/>
      <c r="L12" s="284"/>
    </row>
    <row r="13" spans="1:12" s="85" customFormat="1" ht="27">
      <c r="A13" s="176" t="s">
        <v>349</v>
      </c>
      <c r="B13" s="280">
        <f>'表25(續完)'!B12/'表25'!B5*100</f>
        <v>0.8782513538539242</v>
      </c>
      <c r="C13" s="281">
        <f>'表25(續完)'!C12/'表25'!C5*100</f>
        <v>0.2385944617164341</v>
      </c>
      <c r="D13" s="281">
        <f>'表25(續完)'!D12/'表25'!D5*100</f>
        <v>0.4770578541070344</v>
      </c>
      <c r="E13" s="281">
        <f>'表25(續完)'!E12/'表25'!E5*100</f>
        <v>0.23144453312051078</v>
      </c>
      <c r="F13" s="281">
        <f>'表25(續完)'!F12/'表25'!F5*100</f>
        <v>1.3684543584875812</v>
      </c>
      <c r="G13" s="281">
        <f>'表25(續完)'!G12/'表25'!G5*100</f>
        <v>1.5385835514315171</v>
      </c>
      <c r="H13" s="281">
        <f>'表25(續完)'!H12/'表25'!H5*100</f>
        <v>1.1385324119776241</v>
      </c>
      <c r="I13" s="281">
        <f>'表25(續完)'!I12/'表25'!I5*100</f>
        <v>0.8613665463857525</v>
      </c>
      <c r="J13" s="281">
        <f>'表25(續完)'!J12/'表25'!J5*100</f>
        <v>0.8293694352969875</v>
      </c>
      <c r="K13" s="281">
        <f>'表25(續完)'!K12/'表25'!K5*100</f>
        <v>0.7445589919816723</v>
      </c>
      <c r="L13" s="281">
        <f>'表25(續完)'!L12/'表25'!L5*100</f>
        <v>1.2997454106927508</v>
      </c>
    </row>
    <row r="14" spans="1:12" ht="15.75">
      <c r="A14" s="153" t="s">
        <v>21</v>
      </c>
      <c r="B14" s="282">
        <f>'表25(續完)'!B13/'表25'!B5*100</f>
        <v>0.15362383905272314</v>
      </c>
      <c r="C14" s="283">
        <f>'表25(續完)'!C13/'表25'!C5*100</f>
        <v>0</v>
      </c>
      <c r="D14" s="283">
        <f>'表25(續完)'!D13/'表25'!D5*100</f>
        <v>0.22551825830514355</v>
      </c>
      <c r="E14" s="283">
        <f>'表25(續完)'!E13/'表25'!E5*100</f>
        <v>0</v>
      </c>
      <c r="F14" s="283">
        <f>'表25(續完)'!F13/'表25'!F5*100</f>
        <v>0.348046195222275</v>
      </c>
      <c r="G14" s="283">
        <f>'表25(續完)'!G13/'表25'!G5*100</f>
        <v>0.17447854706955349</v>
      </c>
      <c r="H14" s="283">
        <f>'表25(續完)'!H13/'表25'!H5*100</f>
        <v>0.2500822639025996</v>
      </c>
      <c r="I14" s="283">
        <f>'表25(續完)'!I13/'表25'!I5*100</f>
        <v>0.15714119427307646</v>
      </c>
      <c r="J14" s="283">
        <f>'表25(續完)'!J13/'表25'!J5*100</f>
        <v>0.0853762653982193</v>
      </c>
      <c r="K14" s="283">
        <f>'表25(續完)'!K13/'表25'!K5*100</f>
        <v>0.09545628102329133</v>
      </c>
      <c r="L14" s="283">
        <f>'表25(續完)'!L13/'表25'!L5*100</f>
        <v>0.221090714190004</v>
      </c>
    </row>
    <row r="15" spans="1:12" ht="39.75">
      <c r="A15" s="153" t="s">
        <v>1008</v>
      </c>
      <c r="B15" s="282">
        <f>'表25(續完)'!B14/'表25'!B5*100</f>
        <v>0.5710036757484778</v>
      </c>
      <c r="C15" s="283">
        <f>'表25(續完)'!C14/'表25'!C5*100</f>
        <v>0.2385944617164341</v>
      </c>
      <c r="D15" s="283">
        <f>'表25(續完)'!D14/'表25'!D5*100</f>
        <v>0.2515395958018909</v>
      </c>
      <c r="E15" s="283">
        <f>'表25(續完)'!E14/'表25'!E5*100</f>
        <v>0.23144453312051078</v>
      </c>
      <c r="F15" s="283">
        <f>'表25(續完)'!F14/'表25'!F5*100</f>
        <v>0.8463850656541686</v>
      </c>
      <c r="G15" s="283">
        <f>'表25(續完)'!G14/'表25'!G5*100</f>
        <v>1.1816956142437942</v>
      </c>
      <c r="H15" s="283">
        <f>'表25(續完)'!H14/'表25'!H5*100</f>
        <v>0.5923000987166831</v>
      </c>
      <c r="I15" s="283">
        <f>'表25(續完)'!I14/'表25'!I5*100</f>
        <v>0.5820044232336166</v>
      </c>
      <c r="J15" s="283">
        <f>'表25(續完)'!J14/'表25'!J5*100</f>
        <v>0.4817660690328089</v>
      </c>
      <c r="K15" s="283">
        <f>'表25(續完)'!K14/'表25'!K5*100</f>
        <v>0.4200076365024819</v>
      </c>
      <c r="L15" s="283">
        <f>'表25(續完)'!L14/'表25'!L5*100</f>
        <v>0.884362856760016</v>
      </c>
    </row>
    <row r="16" spans="1:12" ht="27">
      <c r="A16" s="153" t="s">
        <v>22</v>
      </c>
      <c r="B16" s="282">
        <f>'表25(續完)'!B15/'表25'!B5*100</f>
        <v>0.15362383905272314</v>
      </c>
      <c r="C16" s="283">
        <f>'表25(續完)'!C15/'表25'!C5*100</f>
        <v>0</v>
      </c>
      <c r="D16" s="283">
        <f>'表25(續完)'!D15/'表25'!D5*100</f>
        <v>0</v>
      </c>
      <c r="E16" s="283">
        <f>'表25(續完)'!E15/'表25'!E5*100</f>
        <v>0</v>
      </c>
      <c r="F16" s="283">
        <f>'表25(續完)'!F15/'表25'!F5*100</f>
        <v>0.1740230976111375</v>
      </c>
      <c r="G16" s="283">
        <f>'表25(續完)'!G15/'表25'!G5*100</f>
        <v>0.18240939011816956</v>
      </c>
      <c r="H16" s="283">
        <f>'表25(續完)'!H15/'表25'!H5*100</f>
        <v>0.29615004935834155</v>
      </c>
      <c r="I16" s="283">
        <f>'表25(續完)'!I15/'表25'!I5*100</f>
        <v>0.12222092887905948</v>
      </c>
      <c r="J16" s="283">
        <f>'表25(續完)'!J15/'表25'!J5*100</f>
        <v>0.2622271008659593</v>
      </c>
      <c r="K16" s="283">
        <f>'表25(續完)'!K15/'表25'!K5*100</f>
        <v>0.22909507445589922</v>
      </c>
      <c r="L16" s="283">
        <f>'表25(續完)'!L15/'表25'!L5*100</f>
        <v>0.19429183974273082</v>
      </c>
    </row>
    <row r="17" spans="1:12" ht="15.75">
      <c r="A17" s="242"/>
      <c r="B17" s="285"/>
      <c r="C17" s="286"/>
      <c r="D17" s="285"/>
      <c r="E17" s="286"/>
      <c r="F17" s="286"/>
      <c r="G17" s="286"/>
      <c r="H17" s="286"/>
      <c r="I17" s="286"/>
      <c r="J17" s="286"/>
      <c r="K17" s="286"/>
      <c r="L17" s="286"/>
    </row>
    <row r="18" spans="1:12" ht="30" customHeight="1">
      <c r="A18" s="176" t="s">
        <v>686</v>
      </c>
      <c r="B18" s="280">
        <v>0.1</v>
      </c>
      <c r="C18" s="287">
        <f>'表25(續完)'!C17/'表25'!C5*100</f>
        <v>0</v>
      </c>
      <c r="D18" s="287">
        <f>'表25(續完)'!D17/'表25'!D5*100</f>
        <v>0</v>
      </c>
      <c r="E18" s="287">
        <f>'表25(續完)'!E17/'表25'!E5*100</f>
        <v>0</v>
      </c>
      <c r="F18" s="287">
        <f>'表25(續完)'!F17/'表25'!F5*100</f>
        <v>0</v>
      </c>
      <c r="G18" s="287">
        <f>'表25(續完)'!G17/'表25'!G5*100</f>
        <v>0</v>
      </c>
      <c r="H18" s="287">
        <f>'表25(續完)'!H17/'表25'!H5*100</f>
        <v>0</v>
      </c>
      <c r="I18" s="287">
        <f>'表25(續完)'!I17/'表25'!I5*100</f>
        <v>0</v>
      </c>
      <c r="J18" s="287">
        <f>'表25(續完)'!J17/'表25'!J5*100</f>
        <v>0</v>
      </c>
      <c r="K18" s="281">
        <v>0.4</v>
      </c>
      <c r="L18" s="281">
        <v>0.4</v>
      </c>
    </row>
    <row r="19" spans="1:12" ht="15.75">
      <c r="A19" s="175"/>
      <c r="B19" s="278"/>
      <c r="C19" s="279"/>
      <c r="D19" s="279"/>
      <c r="E19" s="279"/>
      <c r="F19" s="279"/>
      <c r="G19" s="279"/>
      <c r="H19" s="279"/>
      <c r="I19" s="279"/>
      <c r="J19" s="279"/>
      <c r="K19" s="279"/>
      <c r="L19" s="284"/>
    </row>
    <row r="20" spans="1:12" ht="15.75">
      <c r="A20" s="176" t="s">
        <v>684</v>
      </c>
      <c r="B20" s="280">
        <f>'表25(續完)'!B19/'表25'!B5*100</f>
        <v>2.86133168719661</v>
      </c>
      <c r="C20" s="281">
        <f>'表25(續完)'!C19/'表25'!C5*100</f>
        <v>3.000506109464247</v>
      </c>
      <c r="D20" s="281">
        <f>'表25(續完)'!D19/'表25'!D5*100</f>
        <v>3.47818544539856</v>
      </c>
      <c r="E20" s="281">
        <f>'表25(續完)'!E19/'表25'!E5*100</f>
        <v>3.4078212290502794</v>
      </c>
      <c r="F20" s="281">
        <f>'表25(續完)'!F19/'表25'!F5*100</f>
        <v>3.8838791330485685</v>
      </c>
      <c r="G20" s="281">
        <f>'表25(續完)'!G19/'表25'!G5*100</f>
        <v>4.837814259655802</v>
      </c>
      <c r="H20" s="281">
        <f>'表25(續完)'!H19/'表25'!H5*100</f>
        <v>4.4883185258308655</v>
      </c>
      <c r="I20" s="281">
        <f>'表25(續完)'!I19/'表25'!I5*100</f>
        <v>2.7354207891979976</v>
      </c>
      <c r="J20" s="281">
        <f>'表25(續完)'!J19/'表25'!J5*100</f>
        <v>0.9452372240517136</v>
      </c>
      <c r="K20" s="281">
        <f>'表25(續完)'!K19/'表25'!K5*100</f>
        <v>1.2600229095074456</v>
      </c>
      <c r="L20" s="281">
        <f>'表25(續完)'!L19/'表25'!L5*100</f>
        <v>1.5409352807182097</v>
      </c>
    </row>
    <row r="21" spans="1:12" ht="15.75">
      <c r="A21" s="153" t="s">
        <v>341</v>
      </c>
      <c r="B21" s="282">
        <f>'表25(續完)'!B20/'表25'!B5*100</f>
        <v>0.3072476781054463</v>
      </c>
      <c r="C21" s="283">
        <f>'表25(續完)'!C20/'表25'!C5*100</f>
        <v>0.15183283927409444</v>
      </c>
      <c r="D21" s="283">
        <f>'表25(續完)'!D20/'表25'!D5*100</f>
        <v>0.20817069997397866</v>
      </c>
      <c r="E21" s="283">
        <f>'表25(續完)'!E20/'表25'!E5*100</f>
        <v>0.13567438148443736</v>
      </c>
      <c r="F21" s="283">
        <f>'表25(續完)'!F20/'表25'!F5*100</f>
        <v>1.0045878816642937</v>
      </c>
      <c r="G21" s="283">
        <f>'表25(續完)'!G20/'表25'!G5*100</f>
        <v>0.816876834007455</v>
      </c>
      <c r="H21" s="283">
        <f>'表25(續完)'!H20/'表25'!H5*100</f>
        <v>0.5264889766370516</v>
      </c>
      <c r="I21" s="283">
        <f>'表25(續完)'!I20/'表25'!I5*100</f>
        <v>0.3841229193341869</v>
      </c>
      <c r="J21" s="283">
        <f>'表25(續完)'!J20/'表25'!J5*100</f>
        <v>0</v>
      </c>
      <c r="K21" s="283">
        <f>'表25(續完)'!K20/'表25'!K5*100</f>
        <v>0</v>
      </c>
      <c r="L21" s="283">
        <f>'表25(續完)'!L20/'表25'!L5*100</f>
        <v>0</v>
      </c>
    </row>
    <row r="22" spans="1:12" ht="15.75">
      <c r="A22" s="153" t="s">
        <v>337</v>
      </c>
      <c r="B22" s="282">
        <f>'表25(續完)'!B21/'表25'!B5*100</f>
        <v>0.6488678133505429</v>
      </c>
      <c r="C22" s="283">
        <f>'表25(續完)'!C21/'表25'!C5*100</f>
        <v>0.49887932904345317</v>
      </c>
      <c r="D22" s="283">
        <f>'表25(續完)'!D21/'表25'!D5*100</f>
        <v>0.546448087431694</v>
      </c>
      <c r="E22" s="283">
        <f>'表25(續完)'!E21/'表25'!E5*100</f>
        <v>0.5506783719074222</v>
      </c>
      <c r="F22" s="283">
        <f>'表25(續完)'!F21/'表25'!F5*100</f>
        <v>0.5299794336339186</v>
      </c>
      <c r="G22" s="283">
        <f>'表25(續完)'!G21/'表25'!G5*100</f>
        <v>1.4513442778967405</v>
      </c>
      <c r="H22" s="283">
        <f>'表25(續完)'!H21/'表25'!H5*100</f>
        <v>1.5136558078315236</v>
      </c>
      <c r="I22" s="283">
        <f>'表25(續完)'!I21/'表25'!I5*100</f>
        <v>0.7857059713653823</v>
      </c>
      <c r="J22" s="283">
        <f>'表25(續完)'!J21/'表25'!J5*100</f>
        <v>0</v>
      </c>
      <c r="K22" s="283">
        <f>'表25(續完)'!K21/'表25'!K5*100</f>
        <v>0.3690976199567265</v>
      </c>
      <c r="L22" s="283">
        <f>'表25(續完)'!L21/'表25'!L5*100</f>
        <v>0.3416856492027335</v>
      </c>
    </row>
    <row r="23" spans="1:12" ht="27">
      <c r="A23" s="153" t="s">
        <v>338</v>
      </c>
      <c r="B23" s="282">
        <f>'表25(續完)'!B22/'表25'!B5*100</f>
        <v>0.7989842588175875</v>
      </c>
      <c r="C23" s="283">
        <f>'表25(續完)'!C22/'表25'!C5*100</f>
        <v>0.9471477116622081</v>
      </c>
      <c r="D23" s="283">
        <f>'表25(續完)'!D22/'表25'!D5*100</f>
        <v>1.2230028623471247</v>
      </c>
      <c r="E23" s="283">
        <f>'表25(續完)'!E22/'表25'!E5*100</f>
        <v>1.077414205905826</v>
      </c>
      <c r="F23" s="283">
        <f>'表25(續完)'!F22/'表25'!F5*100</f>
        <v>0.9096661920582185</v>
      </c>
      <c r="G23" s="283">
        <f>'表25(續完)'!G22/'表25'!G5*100</f>
        <v>1.070663811563169</v>
      </c>
      <c r="H23" s="283">
        <f>'表25(續完)'!H22/'表25'!H5*100</f>
        <v>1.263573543928924</v>
      </c>
      <c r="I23" s="283">
        <f>'表25(續完)'!I22/'表25'!I5*100</f>
        <v>0.7275055290420207</v>
      </c>
      <c r="J23" s="283">
        <f>'表25(續完)'!J22/'表25'!J5*100</f>
        <v>0.25003049152335655</v>
      </c>
      <c r="K23" s="283">
        <f>'表25(續完)'!K22/'表25'!K5*100</f>
        <v>0.35000636375206823</v>
      </c>
      <c r="L23" s="283">
        <f>'表25(續完)'!L22/'表25'!L5*100</f>
        <v>0.462280584215463</v>
      </c>
    </row>
    <row r="24" spans="1:12" ht="27">
      <c r="A24" s="153" t="s">
        <v>339</v>
      </c>
      <c r="B24" s="282">
        <f>'表25(續完)'!B23/'表25'!B5*100</f>
        <v>0.5576755801228991</v>
      </c>
      <c r="C24" s="283">
        <f>'表25(續完)'!C23/'表25'!C5*100</f>
        <v>0.6724025739281324</v>
      </c>
      <c r="D24" s="283">
        <f>'表25(續完)'!D23/'表25'!D5*100</f>
        <v>0.7372712290745077</v>
      </c>
      <c r="E24" s="283">
        <f>'表25(續完)'!E23/'表25'!E5*100</f>
        <v>1.0694333599361534</v>
      </c>
      <c r="F24" s="283">
        <f>'表25(續完)'!F23/'表25'!F5*100</f>
        <v>0.9729473184622686</v>
      </c>
      <c r="G24" s="283">
        <f>'表25(續完)'!G23/'表25'!G5*100</f>
        <v>0.8565310492505354</v>
      </c>
      <c r="H24" s="283">
        <f>'表25(續完)'!H23/'表25'!H5*100</f>
        <v>0.7568279039157618</v>
      </c>
      <c r="I24" s="283">
        <f>'表25(續完)'!I23/'表25'!I5*100</f>
        <v>0.34920265394016997</v>
      </c>
      <c r="J24" s="283">
        <f>'表25(續完)'!J23/'表25'!J5*100</f>
        <v>0.10367117941212343</v>
      </c>
      <c r="K24" s="283">
        <f>'表25(續完)'!K23/'表25'!K5*100</f>
        <v>0.16545755377370497</v>
      </c>
      <c r="L24" s="283">
        <f>'表25(續完)'!L23/'表25'!L5*100</f>
        <v>0.22779043280182232</v>
      </c>
    </row>
    <row r="25" spans="1:12" ht="39.75">
      <c r="A25" s="153" t="s">
        <v>340</v>
      </c>
      <c r="B25" s="282">
        <f>'表25(續完)'!B24/'表25'!B5*100</f>
        <v>0.5485563568001347</v>
      </c>
      <c r="C25" s="283">
        <f>'表25(續完)'!C24/'表25'!C5*100</f>
        <v>0.7302436555563588</v>
      </c>
      <c r="D25" s="283">
        <f>'表25(續完)'!D24/'表25'!D5*100</f>
        <v>0.7632925665712551</v>
      </c>
      <c r="E25" s="283">
        <f>'表25(續完)'!E24/'表25'!E5*100</f>
        <v>0.5746209098164405</v>
      </c>
      <c r="F25" s="283">
        <f>'表25(續完)'!F24/'表25'!F5*100</f>
        <v>0.46669830722986866</v>
      </c>
      <c r="G25" s="283">
        <f>'表25(續完)'!G24/'表25'!G5*100</f>
        <v>0.6423982869379015</v>
      </c>
      <c r="H25" s="283">
        <f>'表25(續完)'!H24/'表25'!H5*100</f>
        <v>0.42777229351760443</v>
      </c>
      <c r="I25" s="283">
        <f>'表25(續完)'!I24/'表25'!I5*100</f>
        <v>0.48888371551623794</v>
      </c>
      <c r="J25" s="283">
        <f>'表25(續完)'!J24/'表25'!J5*100</f>
        <v>0.5915355531162337</v>
      </c>
      <c r="K25" s="283">
        <f>'表25(續完)'!K24/'表25'!K5*100</f>
        <v>0.3754613720249459</v>
      </c>
      <c r="L25" s="283">
        <f>'表25(續完)'!L24/'表25'!L5*100</f>
        <v>0.5091786144981911</v>
      </c>
    </row>
    <row r="26" spans="1:12" s="40" customFormat="1" ht="8.25" customHeight="1">
      <c r="A26" s="187"/>
      <c r="B26" s="188"/>
      <c r="C26" s="188"/>
      <c r="D26" s="188"/>
      <c r="E26" s="188"/>
      <c r="F26" s="188"/>
      <c r="G26" s="188"/>
      <c r="H26" s="188"/>
      <c r="I26" s="188"/>
      <c r="J26" s="32"/>
      <c r="K26" s="48"/>
      <c r="L26" s="48"/>
    </row>
    <row r="38" spans="1:12" ht="15.75">
      <c r="A38" s="458" t="str">
        <f>"- "&amp;Sheet1!F27&amp;" -"</f>
        <v>- 166 -</v>
      </c>
      <c r="B38" s="458"/>
      <c r="C38" s="458"/>
      <c r="D38" s="458"/>
      <c r="E38" s="458"/>
      <c r="F38" s="458" t="str">
        <f>"- "&amp;Sheet1!G27&amp;" -"</f>
        <v>- 167 -</v>
      </c>
      <c r="G38" s="458"/>
      <c r="H38" s="458"/>
      <c r="I38" s="458"/>
      <c r="J38" s="458"/>
      <c r="K38" s="458"/>
      <c r="L38" s="458"/>
    </row>
    <row r="44" ht="15.75">
      <c r="A44" s="328"/>
    </row>
  </sheetData>
  <sheetProtection/>
  <mergeCells count="8">
    <mergeCell ref="A1:E1"/>
    <mergeCell ref="A2:E2"/>
    <mergeCell ref="F2:L2"/>
    <mergeCell ref="A38:E38"/>
    <mergeCell ref="F38:L38"/>
    <mergeCell ref="G3:K3"/>
    <mergeCell ref="A3:D3"/>
    <mergeCell ref="F1:L1"/>
  </mergeCells>
  <printOptions/>
  <pageMargins left="0.7086614173228347" right="0.7086614173228347" top="0.7480314960629921" bottom="0.01041666666666666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view="pageLayout" zoomScale="70" zoomScaleNormal="70" zoomScaleSheetLayoutView="85" zoomScalePageLayoutView="70" workbookViewId="0" topLeftCell="A18">
      <selection activeCell="F35" sqref="F35:L35"/>
    </sheetView>
  </sheetViews>
  <sheetFormatPr defaultColWidth="9.00390625" defaultRowHeight="16.5"/>
  <cols>
    <col min="1" max="1" width="39.75390625" style="79" customWidth="1"/>
    <col min="2" max="5" width="11.125" style="79" customWidth="1"/>
    <col min="6" max="12" width="12.375" style="79" customWidth="1"/>
    <col min="13" max="16384" width="9.00390625" style="79" customWidth="1"/>
  </cols>
  <sheetData>
    <row r="1" spans="1:12" s="80" customFormat="1" ht="21.75" customHeight="1">
      <c r="A1" s="459" t="s">
        <v>881</v>
      </c>
      <c r="B1" s="459"/>
      <c r="C1" s="459"/>
      <c r="D1" s="459"/>
      <c r="E1" s="459"/>
      <c r="F1" s="459" t="s">
        <v>201</v>
      </c>
      <c r="G1" s="459"/>
      <c r="H1" s="459"/>
      <c r="I1" s="459"/>
      <c r="J1" s="459"/>
      <c r="K1" s="459"/>
      <c r="L1" s="459"/>
    </row>
    <row r="2" spans="1:12" ht="18" customHeight="1">
      <c r="A2" s="478" t="s">
        <v>27</v>
      </c>
      <c r="B2" s="479"/>
      <c r="C2" s="479"/>
      <c r="D2" s="479"/>
      <c r="E2" s="479"/>
      <c r="F2" s="11"/>
      <c r="G2" s="34"/>
      <c r="H2" s="11"/>
      <c r="I2" s="34" t="s">
        <v>449</v>
      </c>
      <c r="J2" s="11"/>
      <c r="K2" s="11"/>
      <c r="L2" s="11"/>
    </row>
    <row r="3" spans="1:12" s="75" customFormat="1" ht="15" customHeight="1">
      <c r="A3" s="474" t="s">
        <v>831</v>
      </c>
      <c r="B3" s="475"/>
      <c r="C3" s="475"/>
      <c r="D3" s="475"/>
      <c r="E3" s="4" t="s">
        <v>815</v>
      </c>
      <c r="F3" s="21"/>
      <c r="G3" s="476" t="s">
        <v>832</v>
      </c>
      <c r="H3" s="476"/>
      <c r="I3" s="476"/>
      <c r="J3" s="476"/>
      <c r="K3" s="476"/>
      <c r="L3" s="67" t="s">
        <v>447</v>
      </c>
    </row>
    <row r="4" spans="1:12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170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0" s="11" customFormat="1" ht="3.75" customHeight="1">
      <c r="A5" s="160"/>
      <c r="B5" s="159"/>
      <c r="C5" s="160"/>
      <c r="D5" s="160"/>
      <c r="E5" s="160"/>
      <c r="F5" s="160"/>
      <c r="G5" s="160"/>
      <c r="H5" s="160"/>
      <c r="I5" s="160"/>
      <c r="J5" s="160"/>
    </row>
    <row r="6" spans="1:12" s="40" customFormat="1" ht="14.25">
      <c r="A6" s="142" t="s">
        <v>874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s="40" customFormat="1" ht="52.5">
      <c r="A7" s="178" t="s">
        <v>843</v>
      </c>
      <c r="B7" s="280">
        <f>SUM(B8:B10)</f>
        <v>100</v>
      </c>
      <c r="C7" s="281">
        <f>SUM(C8:C10)</f>
        <v>108.97977369165487</v>
      </c>
      <c r="D7" s="281">
        <f aca="true" t="shared" si="0" ref="D7:L7">SUM(D8:D10)</f>
        <v>100</v>
      </c>
      <c r="E7" s="281">
        <f t="shared" si="0"/>
        <v>100</v>
      </c>
      <c r="F7" s="281">
        <f t="shared" si="0"/>
        <v>100</v>
      </c>
      <c r="G7" s="281">
        <f t="shared" si="0"/>
        <v>100</v>
      </c>
      <c r="H7" s="281">
        <f t="shared" si="0"/>
        <v>100</v>
      </c>
      <c r="I7" s="281">
        <f t="shared" si="0"/>
        <v>100</v>
      </c>
      <c r="J7" s="281">
        <f t="shared" si="0"/>
        <v>99.99999999999999</v>
      </c>
      <c r="K7" s="281">
        <f t="shared" si="0"/>
        <v>100</v>
      </c>
      <c r="L7" s="281">
        <f t="shared" si="0"/>
        <v>100</v>
      </c>
    </row>
    <row r="8" spans="1:12" s="40" customFormat="1" ht="14.25">
      <c r="A8" s="175" t="s">
        <v>876</v>
      </c>
      <c r="B8" s="282">
        <f>'表25'!B7/'表25'!B6*100</f>
        <v>59.954900664826404</v>
      </c>
      <c r="C8" s="283">
        <v>54.1</v>
      </c>
      <c r="D8" s="283">
        <f>'表25'!D7/'表25'!D6*100</f>
        <v>45.14978601997147</v>
      </c>
      <c r="E8" s="283">
        <f>'表25'!E7/'表25'!E6*100</f>
        <v>59.192037470726</v>
      </c>
      <c r="F8" s="283">
        <f>'表25'!F7/'表25'!F6*100</f>
        <v>64.4390243902439</v>
      </c>
      <c r="G8" s="283">
        <f>'表25'!G7/'表25'!G6*100</f>
        <v>56.62593984962406</v>
      </c>
      <c r="H8" s="283">
        <f>'表25'!H7/'表25'!H6*100</f>
        <v>65.7941437444543</v>
      </c>
      <c r="I8" s="283">
        <f>'表25'!I7/'表25'!I6*100</f>
        <v>64.4264943457189</v>
      </c>
      <c r="J8" s="283">
        <f>'表25'!J7/'表25'!J6*100</f>
        <v>61.9668568323825</v>
      </c>
      <c r="K8" s="283">
        <f>'表25'!K7/'表25'!K6*100</f>
        <v>64.03482437706394</v>
      </c>
      <c r="L8" s="283">
        <f>'表25'!L7/'表25'!L6*100</f>
        <v>64.24167694204685</v>
      </c>
    </row>
    <row r="9" spans="1:12" s="40" customFormat="1" ht="14.25">
      <c r="A9" s="175" t="s">
        <v>877</v>
      </c>
      <c r="B9" s="282">
        <f>'表25'!B8/'表25'!B6*100</f>
        <v>23.77823568290502</v>
      </c>
      <c r="C9" s="283">
        <f>'表25'!C8/'表25'!C6*100</f>
        <v>32.99151343705799</v>
      </c>
      <c r="D9" s="283">
        <f>'表25'!D8/'表25'!D6*100</f>
        <v>34.66476462196862</v>
      </c>
      <c r="E9" s="283">
        <f>'表25'!E8/'表25'!E6*100</f>
        <v>21.662763466042154</v>
      </c>
      <c r="F9" s="283">
        <f>'表25'!F8/'表25'!F6*100</f>
        <v>22.097560975609756</v>
      </c>
      <c r="G9" s="283">
        <f>'表25'!G8/'表25'!G6*100</f>
        <v>20.770676691729324</v>
      </c>
      <c r="H9" s="283">
        <f>'表25'!H8/'表25'!H6*100</f>
        <v>17.213842058562555</v>
      </c>
      <c r="I9" s="283">
        <f>'表25'!I8/'表25'!I6*100</f>
        <v>22.294022617124394</v>
      </c>
      <c r="J9" s="283">
        <f>'表25'!J8/'表25'!J6*100</f>
        <v>24.096712849769084</v>
      </c>
      <c r="K9" s="283">
        <f>'表25'!K8/'表25'!K6*100</f>
        <v>21.82527769438607</v>
      </c>
      <c r="L9" s="283">
        <f>'表25'!L8/'表25'!L6*100</f>
        <v>22.81134401972873</v>
      </c>
    </row>
    <row r="10" spans="1:12" s="40" customFormat="1" ht="14.25">
      <c r="A10" s="175" t="s">
        <v>844</v>
      </c>
      <c r="B10" s="282">
        <f>'表25'!B9/'表25'!B6*100</f>
        <v>16.266863652268572</v>
      </c>
      <c r="C10" s="283">
        <f>'表25'!C9/'表25'!C6*100</f>
        <v>21.88826025459689</v>
      </c>
      <c r="D10" s="283">
        <f>'表25'!D9/'表25'!D6*100</f>
        <v>20.185449358059916</v>
      </c>
      <c r="E10" s="283">
        <f>'表25'!E9/'表25'!E6*100</f>
        <v>19.14519906323185</v>
      </c>
      <c r="F10" s="283">
        <f>'表25'!F9/'表25'!F6*100</f>
        <v>13.463414634146343</v>
      </c>
      <c r="G10" s="283">
        <f>'表25'!G9/'表25'!G6*100</f>
        <v>22.60338345864662</v>
      </c>
      <c r="H10" s="283">
        <f>'表25'!H9/'表25'!H6*100</f>
        <v>16.992014196983142</v>
      </c>
      <c r="I10" s="283">
        <f>'表25'!I9/'表25'!I6*100</f>
        <v>13.279483037156703</v>
      </c>
      <c r="J10" s="283">
        <f>'表25'!J9/'表25'!J6*100</f>
        <v>13.93643031784841</v>
      </c>
      <c r="K10" s="283">
        <f>'表25'!K9/'表25'!K6*100</f>
        <v>14.139897928549985</v>
      </c>
      <c r="L10" s="283">
        <f>'表25'!L9/'表25'!L6*100</f>
        <v>12.946979038224416</v>
      </c>
    </row>
    <row r="11" spans="1:12" s="40" customFormat="1" ht="39.75">
      <c r="A11" s="178" t="s">
        <v>845</v>
      </c>
      <c r="B11" s="280">
        <v>100</v>
      </c>
      <c r="C11" s="281">
        <v>100</v>
      </c>
      <c r="D11" s="281">
        <v>100</v>
      </c>
      <c r="E11" s="281">
        <v>100</v>
      </c>
      <c r="F11" s="281">
        <v>100</v>
      </c>
      <c r="G11" s="281">
        <v>100</v>
      </c>
      <c r="H11" s="281">
        <v>100</v>
      </c>
      <c r="I11" s="281">
        <v>100</v>
      </c>
      <c r="J11" s="281">
        <v>100</v>
      </c>
      <c r="K11" s="281">
        <v>100</v>
      </c>
      <c r="L11" s="281">
        <v>100</v>
      </c>
    </row>
    <row r="12" spans="1:12" s="40" customFormat="1" ht="52.5">
      <c r="A12" s="128" t="s">
        <v>29</v>
      </c>
      <c r="B12" s="282">
        <f>'表25'!B11/'表25'!B10*100</f>
        <v>2.7356027472436097</v>
      </c>
      <c r="C12" s="283">
        <f>'表25'!C11/'表25'!C10*100</f>
        <v>33.60503027480205</v>
      </c>
      <c r="D12" s="283">
        <f>'表25'!D11/'表25'!D10*100</f>
        <v>5.9300064808814</v>
      </c>
      <c r="E12" s="283">
        <f>'表25'!E11/'表25'!E10*100</f>
        <v>0.3354900551162234</v>
      </c>
      <c r="F12" s="283">
        <f>'表25'!F11/'表25'!F10*100</f>
        <v>0.10831889081455806</v>
      </c>
      <c r="G12" s="283">
        <f>'表25'!G11/'表25'!G10*100</f>
        <v>0</v>
      </c>
      <c r="H12" s="283">
        <f>'表25'!H11/'表25'!H10*100</f>
        <v>0</v>
      </c>
      <c r="I12" s="283">
        <f>'表25'!I11/'表25'!I10*100</f>
        <v>0</v>
      </c>
      <c r="J12" s="283">
        <f>'表25'!J11/'表25'!J10*100</f>
        <v>0</v>
      </c>
      <c r="K12" s="283">
        <f>'表25'!K11/'表25'!K10*100</f>
        <v>0</v>
      </c>
      <c r="L12" s="283">
        <f>'表25'!L11/'表25'!L10*100</f>
        <v>0</v>
      </c>
    </row>
    <row r="13" spans="1:12" s="40" customFormat="1" ht="39.75">
      <c r="A13" s="153" t="s">
        <v>39</v>
      </c>
      <c r="B13" s="282">
        <f>'表25'!B12/'表25'!B10*100</f>
        <v>0.3891374120699117</v>
      </c>
      <c r="C13" s="283">
        <f>'表25'!C12/'表25'!C10*100</f>
        <v>0.6287843502561714</v>
      </c>
      <c r="D13" s="283">
        <f>'表25'!D12/'表25'!D10*100</f>
        <v>6.383668178872326</v>
      </c>
      <c r="E13" s="283">
        <f>'表25'!E12/'表25'!E10*100</f>
        <v>0.11981787682722263</v>
      </c>
      <c r="F13" s="283">
        <f>'表25'!F12/'表25'!F10*100</f>
        <v>0.10831889081455806</v>
      </c>
      <c r="G13" s="283">
        <f>'表25'!G12/'表25'!G10*100</f>
        <v>0</v>
      </c>
      <c r="H13" s="283">
        <f>'表25'!H12/'表25'!H10*100</f>
        <v>0</v>
      </c>
      <c r="I13" s="283">
        <f>'表25'!I12/'表25'!I10*100</f>
        <v>0</v>
      </c>
      <c r="J13" s="283">
        <f>'表25'!J12/'表25'!J10*100</f>
        <v>0</v>
      </c>
      <c r="K13" s="283">
        <f>'表25'!K12/'表25'!K10*100</f>
        <v>0</v>
      </c>
      <c r="L13" s="283">
        <f>'表25'!L12/'表25'!L10*100</f>
        <v>0</v>
      </c>
    </row>
    <row r="14" spans="1:12" s="40" customFormat="1" ht="39.75">
      <c r="A14" s="153" t="s">
        <v>12</v>
      </c>
      <c r="B14" s="282">
        <f>'表25'!B13/'表25'!B10*100</f>
        <v>26.002361432158715</v>
      </c>
      <c r="C14" s="283">
        <f>'表25'!C13/'表25'!C10*100</f>
        <v>0</v>
      </c>
      <c r="D14" s="283">
        <f>'表25'!D13/'表25'!D10*100</f>
        <v>0</v>
      </c>
      <c r="E14" s="283">
        <f>'表25'!E13/'表25'!E10*100</f>
        <v>61.059190031152646</v>
      </c>
      <c r="F14" s="283">
        <f>'表25'!F13/'表25'!F10*100</f>
        <v>41.76776429809358</v>
      </c>
      <c r="G14" s="283">
        <f>'表25'!G13/'表25'!G10*100</f>
        <v>26.77384780278671</v>
      </c>
      <c r="H14" s="283">
        <f>'表25'!H13/'表25'!H10*100</f>
        <v>21.45922746781116</v>
      </c>
      <c r="I14" s="283">
        <f>'表25'!I13/'表25'!I10*100</f>
        <v>22.176742233417297</v>
      </c>
      <c r="J14" s="283">
        <f>'表25'!J13/'表25'!J10*100</f>
        <v>22.695931969662148</v>
      </c>
      <c r="K14" s="283">
        <f>'表25'!K13/'表25'!K10*100</f>
        <v>28.944199116820553</v>
      </c>
      <c r="L14" s="283">
        <f>'表25'!L13/'表25'!L10*100</f>
        <v>33.10842617291699</v>
      </c>
    </row>
    <row r="15" spans="1:12" s="40" customFormat="1" ht="27">
      <c r="A15" s="153" t="s">
        <v>325</v>
      </c>
      <c r="B15" s="282">
        <f>'表25'!B14/'表25'!B10*100</f>
        <v>0.004988941180383483</v>
      </c>
      <c r="C15" s="283">
        <f>'表25'!C14/'表25'!C10*100</f>
        <v>0</v>
      </c>
      <c r="D15" s="283">
        <f>'表25'!D14/'表25'!D10*100</f>
        <v>0.06480881399870382</v>
      </c>
      <c r="E15" s="283">
        <f>'表25'!E14/'表25'!E10*100</f>
        <v>0</v>
      </c>
      <c r="F15" s="283">
        <v>0</v>
      </c>
      <c r="G15" s="283">
        <f>'表25'!G14/'表25'!G10*100</f>
        <v>0</v>
      </c>
      <c r="H15" s="283">
        <f>'表25'!H14/'表25'!H10*100</f>
        <v>0</v>
      </c>
      <c r="I15" s="283">
        <f>'表25'!I14/'表25'!I10*100</f>
        <v>0</v>
      </c>
      <c r="J15" s="283">
        <f>'表25'!J14/'表25'!J10*100</f>
        <v>0</v>
      </c>
      <c r="K15" s="283">
        <f>'表25'!K14/'表25'!K10*100</f>
        <v>0</v>
      </c>
      <c r="L15" s="283">
        <f>'表25'!L14/'表25'!L10*100</f>
        <v>0</v>
      </c>
    </row>
    <row r="16" spans="1:12" s="40" customFormat="1" ht="27">
      <c r="A16" s="153" t="s">
        <v>324</v>
      </c>
      <c r="B16" s="282">
        <f>'表25'!B15/'表25'!B10*100</f>
        <v>16.88423993481117</v>
      </c>
      <c r="C16" s="283">
        <f>'表25'!C15/'表25'!C10*100</f>
        <v>22.100605496040988</v>
      </c>
      <c r="D16" s="283">
        <f>'表25'!D15/'表25'!D10*100</f>
        <v>18.276085547634477</v>
      </c>
      <c r="E16" s="283">
        <f>'表25'!E15/'表25'!E10*100</f>
        <v>17.181883537023722</v>
      </c>
      <c r="F16" s="283">
        <f>'表25'!F15/'表25'!F10*100</f>
        <v>15.251299826689774</v>
      </c>
      <c r="G16" s="283">
        <f>'表25'!G15/'表25'!G10*100</f>
        <v>15.026795284030012</v>
      </c>
      <c r="H16" s="283">
        <f>'表25'!H15/'表25'!H10*100</f>
        <v>21.390004153398863</v>
      </c>
      <c r="I16" s="283">
        <f>'表25'!I15/'表25'!I10*100</f>
        <v>13.895885810243493</v>
      </c>
      <c r="J16" s="283">
        <f>'表25'!J15/'表25'!J10*100</f>
        <v>17.065042518961157</v>
      </c>
      <c r="K16" s="283">
        <f>'表25'!K15/'表25'!K10*100</f>
        <v>16.793790980864447</v>
      </c>
      <c r="L16" s="283">
        <f>'表25'!L15/'表25'!L10*100</f>
        <v>14.2632982896595</v>
      </c>
    </row>
    <row r="17" spans="1:12" s="40" customFormat="1" ht="21" customHeight="1">
      <c r="A17" s="174" t="s">
        <v>90</v>
      </c>
      <c r="B17" s="282">
        <f>'表25'!B16/'表25'!B15*100</f>
        <v>0.21668472372697722</v>
      </c>
      <c r="C17" s="283">
        <v>0.5</v>
      </c>
      <c r="D17" s="283">
        <f>'表25'!D16/'表25'!D15*100</f>
        <v>0</v>
      </c>
      <c r="E17" s="283">
        <f>'表25'!E16/'表25'!E15*100</f>
        <v>0</v>
      </c>
      <c r="F17" s="283">
        <f>'表25'!F16/'表25'!F15*100</f>
        <v>0</v>
      </c>
      <c r="G17" s="283">
        <f>'表25'!G16/'表25'!G15*100</f>
        <v>0</v>
      </c>
      <c r="H17" s="283">
        <f>'表25'!H16/'表25'!H15*100</f>
        <v>0</v>
      </c>
      <c r="I17" s="283">
        <f>'表25'!I16/'表25'!I15*100</f>
        <v>0</v>
      </c>
      <c r="J17" s="283">
        <f>'表25'!J16/'表25'!J15*100</f>
        <v>0</v>
      </c>
      <c r="K17" s="283">
        <f>'表25'!K16/'表25'!K15*100</f>
        <v>0</v>
      </c>
      <c r="L17" s="283">
        <f>'表25'!L16/'表25'!L15*100</f>
        <v>0</v>
      </c>
    </row>
    <row r="18" spans="1:12" s="40" customFormat="1" ht="39.75">
      <c r="A18" s="153" t="s">
        <v>635</v>
      </c>
      <c r="B18" s="282">
        <f>'表25'!B17/'表25'!B10*100</f>
        <v>0</v>
      </c>
      <c r="C18" s="283">
        <f>'表25'!C17/'表25'!C10*100</f>
        <v>0</v>
      </c>
      <c r="D18" s="283">
        <f>'表25'!D17/'表25'!D10*100</f>
        <v>0</v>
      </c>
      <c r="E18" s="283">
        <f>'表25'!E17/'表25'!E10*100</f>
        <v>0</v>
      </c>
      <c r="F18" s="283">
        <f>'表25'!F17/'表25'!F10*100</f>
        <v>0</v>
      </c>
      <c r="G18" s="283">
        <f>'表25'!G17/'表25'!G10*100</f>
        <v>0</v>
      </c>
      <c r="H18" s="283">
        <f>'表25'!H17/'表25'!H10*100</f>
        <v>0</v>
      </c>
      <c r="I18" s="283">
        <f>'表25'!I17/'表25'!I10*100</f>
        <v>0</v>
      </c>
      <c r="J18" s="283">
        <f>'表25'!J17/'表25'!J10*100</f>
        <v>0</v>
      </c>
      <c r="K18" s="283">
        <f>'表25'!K17/'表25'!K10*100</f>
        <v>0</v>
      </c>
      <c r="L18" s="283">
        <f>'表25'!L17/'表25'!L10*100</f>
        <v>0</v>
      </c>
    </row>
    <row r="19" spans="1:12" s="40" customFormat="1" ht="52.5">
      <c r="A19" s="174" t="s">
        <v>326</v>
      </c>
      <c r="B19" s="282">
        <f>'表25'!B18/'表25'!B10*100</f>
        <v>0.1629720785591938</v>
      </c>
      <c r="C19" s="283">
        <f>'表25'!C18/'表25'!C10*100</f>
        <v>0</v>
      </c>
      <c r="D19" s="283">
        <f>'表25'!D18/'表25'!D10*100</f>
        <v>0.2592352559948153</v>
      </c>
      <c r="E19" s="283">
        <f>'表25'!E18/'表25'!E10*100</f>
        <v>0.023963575365444526</v>
      </c>
      <c r="F19" s="283">
        <f>'表25'!F18/'表25'!F10*100</f>
        <v>0.43327556325823224</v>
      </c>
      <c r="G19" s="283">
        <f>'表25'!G18/'表25'!G10*100</f>
        <v>0</v>
      </c>
      <c r="H19" s="283">
        <f>'表25'!H18/'表25'!H10*100</f>
        <v>0</v>
      </c>
      <c r="I19" s="283">
        <v>0</v>
      </c>
      <c r="J19" s="283">
        <f>'表25'!J18/'表25'!J10*100</f>
        <v>0</v>
      </c>
      <c r="K19" s="283">
        <f>'表25'!K18/'表25'!K10*100</f>
        <v>0.4817342432757929</v>
      </c>
      <c r="L19" s="283">
        <f>'表25'!L18/'表25'!L10*100</f>
        <v>0.5021183116271772</v>
      </c>
    </row>
    <row r="20" spans="1:12" s="40" customFormat="1" ht="52.5">
      <c r="A20" s="174" t="s">
        <v>327</v>
      </c>
      <c r="B20" s="282">
        <f>'表25'!B19/'表25'!B10*100</f>
        <v>1.0659704322086043</v>
      </c>
      <c r="C20" s="283">
        <f>'表25'!C19/'表25'!C10*100</f>
        <v>1.3740102468560782</v>
      </c>
      <c r="D20" s="283">
        <f>'表25'!D19/'表25'!D10*100</f>
        <v>2.624756966947505</v>
      </c>
      <c r="E20" s="283">
        <f>'表25'!E19/'表25'!E10*100</f>
        <v>1.00647016534867</v>
      </c>
      <c r="F20" s="283">
        <f>'表25'!F19/'表25'!F10*100</f>
        <v>0.9098786828422877</v>
      </c>
      <c r="G20" s="283">
        <f>'表25'!G19/'表25'!G10*100</f>
        <v>1.3290460878885315</v>
      </c>
      <c r="H20" s="283">
        <f>'表25'!H19/'表25'!H10*100</f>
        <v>0.8168351100650698</v>
      </c>
      <c r="I20" s="283">
        <f>'表25'!I19/'表25'!I10*100</f>
        <v>0.6821998320738875</v>
      </c>
      <c r="J20" s="283">
        <f>'表25'!J19/'表25'!J10*100</f>
        <v>0.850379223167088</v>
      </c>
      <c r="K20" s="283">
        <f>'表25'!K19/'表25'!K10*100</f>
        <v>1.0303760203398902</v>
      </c>
      <c r="L20" s="283">
        <f>'表25'!L19/'表25'!L10*100</f>
        <v>1.2552957790679429</v>
      </c>
    </row>
    <row r="21" spans="1:12" s="40" customFormat="1" ht="21" customHeight="1">
      <c r="A21" s="338" t="s">
        <v>328</v>
      </c>
      <c r="B21" s="341">
        <f>'表25'!B20/'表25'!B10*100</f>
        <v>34.822809439076714</v>
      </c>
      <c r="C21" s="342">
        <f>'表25'!C20/'表25'!C10*100</f>
        <v>31.57894736842105</v>
      </c>
      <c r="D21" s="342">
        <f>'表25'!D20/'表25'!D10*100</f>
        <v>37.84834737524304</v>
      </c>
      <c r="E21" s="342">
        <f>'表25'!E20/'表25'!E10*100</f>
        <v>11.11909896956626</v>
      </c>
      <c r="F21" s="342">
        <f>'表25'!F20/'表25'!F10*100</f>
        <v>30.784228769497403</v>
      </c>
      <c r="G21" s="342">
        <f>'表25'!G20/'表25'!G10*100</f>
        <v>39.78563772775991</v>
      </c>
      <c r="H21" s="342">
        <f>'表25'!H20/'表25'!H10*100</f>
        <v>42.87692094697494</v>
      </c>
      <c r="I21" s="342">
        <f>'表25'!I20/'表25'!I10*100</f>
        <v>42.527287993282954</v>
      </c>
      <c r="J21" s="342">
        <f>'表25'!J20/'表25'!J10*100</f>
        <v>40.783727878648584</v>
      </c>
      <c r="K21" s="342">
        <f>'表25'!K20/'表25'!K10*100</f>
        <v>34.81868058343369</v>
      </c>
      <c r="L21" s="342">
        <f>'表25'!L20/'表25'!L10*100</f>
        <v>21.575396202730268</v>
      </c>
    </row>
    <row r="23" spans="1:13" ht="15.75">
      <c r="A23" s="480" t="s">
        <v>898</v>
      </c>
      <c r="B23" s="481"/>
      <c r="C23" s="481"/>
      <c r="D23" s="481"/>
      <c r="E23" s="481"/>
      <c r="F23" s="482" t="s">
        <v>963</v>
      </c>
      <c r="G23" s="482"/>
      <c r="H23" s="482"/>
      <c r="I23" s="482"/>
      <c r="J23" s="482"/>
      <c r="K23" s="482"/>
      <c r="L23" s="482"/>
      <c r="M23" s="11"/>
    </row>
    <row r="31" s="86" customFormat="1" ht="15.75"/>
    <row r="35" spans="1:12" ht="15.75">
      <c r="A35" s="458" t="str">
        <f>"- "&amp;Sheet1!B28&amp;" -"</f>
        <v>- 168 -</v>
      </c>
      <c r="B35" s="458"/>
      <c r="C35" s="458"/>
      <c r="D35" s="458"/>
      <c r="E35" s="458"/>
      <c r="F35" s="458" t="str">
        <f>"- "&amp;Sheet1!C28&amp;" -"</f>
        <v>- 169 -</v>
      </c>
      <c r="G35" s="458"/>
      <c r="H35" s="458"/>
      <c r="I35" s="458"/>
      <c r="J35" s="458"/>
      <c r="K35" s="458"/>
      <c r="L35" s="458"/>
    </row>
    <row r="44" ht="15.75">
      <c r="A44" s="328"/>
    </row>
  </sheetData>
  <sheetProtection/>
  <mergeCells count="9">
    <mergeCell ref="A35:E35"/>
    <mergeCell ref="F35:L35"/>
    <mergeCell ref="F1:L1"/>
    <mergeCell ref="G3:K3"/>
    <mergeCell ref="A2:E2"/>
    <mergeCell ref="A1:E1"/>
    <mergeCell ref="A3:D3"/>
    <mergeCell ref="A23:E23"/>
    <mergeCell ref="F23:L23"/>
  </mergeCells>
  <printOptions/>
  <pageMargins left="0.6299212598425197" right="0.3937007874015748" top="0.5511811023622047" bottom="0.01488095238095238" header="0.5118110236220472" footer="0.70866141732283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4"/>
  <sheetViews>
    <sheetView view="pageLayout" zoomScale="85" zoomScaleNormal="85" zoomScaleSheetLayoutView="85" zoomScalePageLayoutView="85" workbookViewId="0" topLeftCell="A16">
      <selection activeCell="F34" sqref="F34:L34"/>
    </sheetView>
  </sheetViews>
  <sheetFormatPr defaultColWidth="9.00390625" defaultRowHeight="16.5"/>
  <cols>
    <col min="1" max="1" width="37.00390625" style="79" customWidth="1"/>
    <col min="2" max="4" width="11.125" style="79" customWidth="1"/>
    <col min="5" max="5" width="11.875" style="79" customWidth="1"/>
    <col min="6" max="12" width="12.75390625" style="79" customWidth="1"/>
    <col min="13" max="16384" width="9.00390625" style="79" customWidth="1"/>
  </cols>
  <sheetData>
    <row r="1" spans="1:12" s="80" customFormat="1" ht="18.75" customHeight="1">
      <c r="A1" s="459" t="s">
        <v>883</v>
      </c>
      <c r="B1" s="459"/>
      <c r="C1" s="459"/>
      <c r="D1" s="459"/>
      <c r="E1" s="459"/>
      <c r="F1" s="483" t="s">
        <v>757</v>
      </c>
      <c r="G1" s="483"/>
      <c r="H1" s="483"/>
      <c r="I1" s="483"/>
      <c r="J1" s="483"/>
      <c r="K1" s="483"/>
      <c r="L1" s="483"/>
    </row>
    <row r="2" spans="1:12" ht="14.25" customHeight="1">
      <c r="A2" s="479" t="s">
        <v>882</v>
      </c>
      <c r="B2" s="479"/>
      <c r="C2" s="479"/>
      <c r="D2" s="479"/>
      <c r="E2" s="479"/>
      <c r="F2" s="403" t="s">
        <v>449</v>
      </c>
      <c r="G2" s="403"/>
      <c r="H2" s="403"/>
      <c r="I2" s="403"/>
      <c r="J2" s="403"/>
      <c r="K2" s="403"/>
      <c r="L2" s="403"/>
    </row>
    <row r="3" spans="1:12" s="75" customFormat="1" ht="15" customHeight="1">
      <c r="A3" s="474" t="s">
        <v>831</v>
      </c>
      <c r="B3" s="475"/>
      <c r="C3" s="475"/>
      <c r="D3" s="475"/>
      <c r="E3" s="4" t="s">
        <v>815</v>
      </c>
      <c r="F3" s="21"/>
      <c r="G3" s="476" t="s">
        <v>832</v>
      </c>
      <c r="H3" s="476"/>
      <c r="I3" s="476"/>
      <c r="J3" s="476"/>
      <c r="K3" s="476"/>
      <c r="L3" s="67" t="s">
        <v>447</v>
      </c>
    </row>
    <row r="4" spans="1:12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0" s="11" customFormat="1" ht="3.75" customHeight="1">
      <c r="A5" s="160"/>
      <c r="B5" s="159"/>
      <c r="C5" s="160"/>
      <c r="D5" s="160"/>
      <c r="E5" s="160"/>
      <c r="F5" s="160"/>
      <c r="G5" s="160"/>
      <c r="H5" s="160"/>
      <c r="I5" s="160"/>
      <c r="J5" s="160"/>
    </row>
    <row r="6" spans="1:12" s="40" customFormat="1" ht="52.5">
      <c r="A6" s="174" t="s">
        <v>190</v>
      </c>
      <c r="B6" s="282">
        <f>'表25(續1)'!B5/'表25'!B10*100</f>
        <v>0.5038830592187319</v>
      </c>
      <c r="C6" s="283">
        <f>'表25(續1)'!C5/'表25'!C10*100</f>
        <v>0.8849557522123894</v>
      </c>
      <c r="D6" s="283">
        <f>'表25(續1)'!D5/'表25'!D10*100</f>
        <v>0.8749189889825016</v>
      </c>
      <c r="E6" s="283">
        <f>'表25(續1)'!E5/'表25'!E10*100</f>
        <v>0.5511622334052241</v>
      </c>
      <c r="F6" s="283">
        <f>'表25(續1)'!F5/'表25'!F10*100</f>
        <v>0.5849220103986136</v>
      </c>
      <c r="G6" s="283">
        <f>'表25(續1)'!G5/'表25'!G10*100</f>
        <v>0.707395498392283</v>
      </c>
      <c r="H6" s="283">
        <f>'表25(續1)'!H5/'表25'!H10*100</f>
        <v>0.4707185380035996</v>
      </c>
      <c r="I6" s="283">
        <f>'表25(續1)'!I5/'表25'!I10*100</f>
        <v>0.5142737195633921</v>
      </c>
      <c r="J6" s="283">
        <f>'表25(續1)'!J5/'表25'!J10*100</f>
        <v>0.425189611583544</v>
      </c>
      <c r="K6" s="283">
        <f>'表25(續1)'!K5/'表25'!K10*100</f>
        <v>0</v>
      </c>
      <c r="L6" s="283">
        <f>'表25(續1)'!L5/'表25'!L10*100</f>
        <v>0.549191903342225</v>
      </c>
    </row>
    <row r="7" spans="1:12" s="40" customFormat="1" ht="52.5">
      <c r="A7" s="174" t="s">
        <v>364</v>
      </c>
      <c r="B7" s="282">
        <f>'表25(續1)'!B6/'表25'!B10*100</f>
        <v>0.33592203947915455</v>
      </c>
      <c r="C7" s="283">
        <f>'表25(續1)'!C6/'表25'!C10*100</f>
        <v>0.7918025151374011</v>
      </c>
      <c r="D7" s="283">
        <f>'表25(續1)'!D6/'表25'!D10*100</f>
        <v>0</v>
      </c>
      <c r="E7" s="283">
        <f>'表25(續1)'!E6/'表25'!E10*100</f>
        <v>0</v>
      </c>
      <c r="F7" s="283">
        <f>'表25(續1)'!F6/'表25'!F10*100</f>
        <v>0.4116117850953206</v>
      </c>
      <c r="G7" s="283">
        <f>'表25(續1)'!G6/'表25'!G10*100</f>
        <v>0</v>
      </c>
      <c r="H7" s="283">
        <f>'表25(續1)'!H6/'表25'!H10*100</f>
        <v>0</v>
      </c>
      <c r="I7" s="283">
        <f>'表25(續1)'!I6/'表25'!I10*100</f>
        <v>0.9340890008396305</v>
      </c>
      <c r="J7" s="283">
        <f>'表25(續1)'!J6/'表25'!J10*100</f>
        <v>0.6780050563088945</v>
      </c>
      <c r="K7" s="300">
        <v>0</v>
      </c>
      <c r="L7" s="283">
        <f>'表25(續1)'!L6/'表25'!L10*100</f>
        <v>0</v>
      </c>
    </row>
    <row r="8" spans="1:12" s="40" customFormat="1" ht="14.25">
      <c r="A8" s="153" t="s">
        <v>329</v>
      </c>
      <c r="B8" s="282">
        <f>'表25(續1)'!B7/'表25'!B10*100</f>
        <v>0.4041042356110622</v>
      </c>
      <c r="C8" s="283">
        <f>'表25(續1)'!C7/'表25'!C10*100</f>
        <v>0.4890544946436889</v>
      </c>
      <c r="D8" s="283">
        <f>'表25(續1)'!D7/'表25'!D10*100</f>
        <v>0.6156837329876863</v>
      </c>
      <c r="E8" s="283">
        <f>'表25(續1)'!E7/'表25'!E10*100</f>
        <v>0.6230529595015576</v>
      </c>
      <c r="F8" s="283">
        <f>'表25(續1)'!F7/'表25'!F10*100</f>
        <v>0</v>
      </c>
      <c r="G8" s="283">
        <f>'表25(續1)'!G7/'表25'!G10*100</f>
        <v>0.9431939978563773</v>
      </c>
      <c r="H8" s="283">
        <f>'表25(續1)'!H7/'表25'!H10*100</f>
        <v>0.17998061747196456</v>
      </c>
      <c r="I8" s="283">
        <f>'表25(續1)'!I7/'表25'!I10*100</f>
        <v>0.3043660789252729</v>
      </c>
      <c r="J8" s="283">
        <f>'表25(續1)'!J7/'表25'!J10*100</f>
        <v>0.7469547230521719</v>
      </c>
      <c r="K8" s="283">
        <f>'表25(續1)'!K7/'表25'!K10*100</f>
        <v>0.20072260136491368</v>
      </c>
      <c r="L8" s="283">
        <f>'表25(續1)'!L7/'表25'!L10*100</f>
        <v>0.17260316962184216</v>
      </c>
    </row>
    <row r="9" spans="1:12" s="40" customFormat="1" ht="27">
      <c r="A9" s="153" t="s">
        <v>330</v>
      </c>
      <c r="B9" s="282">
        <f>'表25(續1)'!B8/'表25'!B10*100</f>
        <v>0</v>
      </c>
      <c r="C9" s="283">
        <f>'表25(續1)'!C8/'表25'!C10*100</f>
        <v>0</v>
      </c>
      <c r="D9" s="283">
        <f>'表25(續1)'!D8/'表25'!D10*100</f>
        <v>0</v>
      </c>
      <c r="E9" s="283">
        <f>'表25(續1)'!E8/'表25'!E10*100</f>
        <v>0</v>
      </c>
      <c r="F9" s="283">
        <f>'表25(續1)'!F8/'表25'!F10*100</f>
        <v>0</v>
      </c>
      <c r="G9" s="283">
        <f>'表25(續1)'!G8/'表25'!G10*100</f>
        <v>0</v>
      </c>
      <c r="H9" s="283">
        <f>'表25(續1)'!H8/'表25'!H10*100</f>
        <v>0</v>
      </c>
      <c r="I9" s="283">
        <f>'表25(續1)'!I8/'表25'!I10*100</f>
        <v>0</v>
      </c>
      <c r="J9" s="283">
        <f>'表25(續1)'!J8/'表25'!J10*100</f>
        <v>0</v>
      </c>
      <c r="K9" s="283">
        <f>'表25(續1)'!K8/'表25'!K10*100</f>
        <v>0</v>
      </c>
      <c r="L9" s="283">
        <f>'表25(續1)'!L8/'表25'!L10*100</f>
        <v>0</v>
      </c>
    </row>
    <row r="10" spans="1:12" s="40" customFormat="1" ht="14.25">
      <c r="A10" s="171" t="s">
        <v>331</v>
      </c>
      <c r="B10" s="282">
        <f>'表25(續1)'!B9/'表25'!B10*100</f>
        <v>2.160211531106048</v>
      </c>
      <c r="C10" s="283">
        <f>'表25(續1)'!C9/'表25'!C10*100</f>
        <v>0</v>
      </c>
      <c r="D10" s="283">
        <f>'表25(續1)'!D9/'表25'!D10*100</f>
        <v>9.300064808813998</v>
      </c>
      <c r="E10" s="283">
        <v>0</v>
      </c>
      <c r="F10" s="283">
        <f>'表25(續1)'!F9/'表25'!F10*100</f>
        <v>0.12998266897746968</v>
      </c>
      <c r="G10" s="283">
        <f>'表25(續1)'!G9/'表25'!G10*100</f>
        <v>5.144694533762058</v>
      </c>
      <c r="H10" s="283">
        <f>'表25(續1)'!H9/'表25'!H10*100</f>
        <v>3.7380589782638793</v>
      </c>
      <c r="I10" s="283">
        <f>'表25(續1)'!I9/'表25'!I10*100</f>
        <v>1.2804366078925273</v>
      </c>
      <c r="J10" s="283">
        <f>'表25(續1)'!J9/'表25'!J10*100</f>
        <v>1.8386577798207306</v>
      </c>
      <c r="K10" s="283">
        <f>'表25(續1)'!K9/'表25'!K10*100</f>
        <v>1.231098621704804</v>
      </c>
      <c r="L10" s="283">
        <f>'表25(續1)'!L9/'表25'!L10*100</f>
        <v>1.8829436686019143</v>
      </c>
    </row>
    <row r="11" spans="1:12" s="40" customFormat="1" ht="14.25">
      <c r="A11" s="153" t="s">
        <v>345</v>
      </c>
      <c r="B11" s="282">
        <f>'表25(續1)'!B10/'表25'!B10*100</f>
        <v>2.8137628257362843</v>
      </c>
      <c r="C11" s="283">
        <f>'表25(續1)'!C10/'表25'!C10*100</f>
        <v>3.0973451327433628</v>
      </c>
      <c r="D11" s="283">
        <f>'表25(續1)'!D10/'表25'!D10*100</f>
        <v>0.9397278029812054</v>
      </c>
      <c r="E11" s="283">
        <v>0</v>
      </c>
      <c r="F11" s="283">
        <f>'表25(續1)'!F10/'表25'!F10*100</f>
        <v>1.4298093587521665</v>
      </c>
      <c r="G11" s="283">
        <f>'表25(續1)'!G10/'表25'!G10*100</f>
        <v>3.9871382636655945</v>
      </c>
      <c r="H11" s="283">
        <f>'表25(續1)'!H10/'表25'!H10*100</f>
        <v>3.03198117125848</v>
      </c>
      <c r="I11" s="283">
        <f>'表25(續1)'!I10/'表25'!I10*100</f>
        <v>4.156171284634761</v>
      </c>
      <c r="J11" s="283">
        <f>'表25(續1)'!J10/'表25'!J10*100</f>
        <v>2.7464950586072168</v>
      </c>
      <c r="K11" s="283">
        <f>'表25(續1)'!K10/'表25'!K10*100</f>
        <v>3.07774655426201</v>
      </c>
      <c r="L11" s="283">
        <f>'表25(續1)'!L10/'表25'!L10*100</f>
        <v>3.028401067001412</v>
      </c>
    </row>
    <row r="12" spans="1:12" s="40" customFormat="1" ht="52.5">
      <c r="A12" s="153" t="s">
        <v>332</v>
      </c>
      <c r="B12" s="282">
        <f>'表25(續1)'!B11/'表25'!B10*100</f>
        <v>0.3575407845941496</v>
      </c>
      <c r="C12" s="283">
        <f>'表25(續1)'!C11/'表25'!C10*100</f>
        <v>0</v>
      </c>
      <c r="D12" s="283">
        <f>'表25(續1)'!D11/'表25'!D10*100</f>
        <v>0.2916396629941672</v>
      </c>
      <c r="E12" s="283">
        <f>'表25(續1)'!E11/'表25'!E10*100</f>
        <v>1.6534867002156721</v>
      </c>
      <c r="F12" s="300">
        <v>0</v>
      </c>
      <c r="G12" s="300">
        <v>0</v>
      </c>
      <c r="H12" s="283">
        <f>'表25(續1)'!H11/'表25'!H10*100</f>
        <v>0.6091651668281878</v>
      </c>
      <c r="I12" s="283">
        <f>'表25(續1)'!I11/'表25'!I10*100</f>
        <v>0.2413937867338371</v>
      </c>
      <c r="J12" s="283">
        <f>'表25(續1)'!J11/'表25'!J10*100</f>
        <v>0.0689496667432774</v>
      </c>
      <c r="K12" s="283">
        <f>'表25(續1)'!K11/'表25'!K10*100</f>
        <v>0.09367054730362638</v>
      </c>
      <c r="L12" s="283">
        <f>'表25(續1)'!L11/'表25'!L10*100</f>
        <v>0.8473246508708614</v>
      </c>
    </row>
    <row r="13" spans="1:12" s="40" customFormat="1" ht="27">
      <c r="A13" s="153" t="s">
        <v>333</v>
      </c>
      <c r="B13" s="282">
        <f>'表25(續1)'!B12/'表25'!B10*100</f>
        <v>0.11141968636189781</v>
      </c>
      <c r="C13" s="283">
        <f>'表25(續1)'!C12/'表25'!C10*100</f>
        <v>0.41918956683744757</v>
      </c>
      <c r="D13" s="283">
        <f>'表25(續1)'!D12/'表25'!D10*100</f>
        <v>0</v>
      </c>
      <c r="E13" s="283">
        <f>'表25(續1)'!E12/'表25'!E10*100</f>
        <v>0</v>
      </c>
      <c r="F13" s="283">
        <f>'表25(續1)'!F12/'表25'!F10*100</f>
        <v>0.21663778162911612</v>
      </c>
      <c r="G13" s="300">
        <v>0</v>
      </c>
      <c r="H13" s="283">
        <f>'表25(續1)'!H12/'表25'!H10*100</f>
        <v>0.1384466288245881</v>
      </c>
      <c r="I13" s="283">
        <f>'表25(續1)'!I12/'表25'!I10*100</f>
        <v>0</v>
      </c>
      <c r="J13" s="283">
        <f>'表25(續1)'!J12/'表25'!J10*100</f>
        <v>0.20684900022983221</v>
      </c>
      <c r="K13" s="283">
        <f>'表25(續1)'!K12/'表25'!K10*100</f>
        <v>0</v>
      </c>
      <c r="L13" s="283">
        <f>'表25(續1)'!L12/'表25'!L10*100</f>
        <v>0.14122077514514358</v>
      </c>
    </row>
    <row r="14" spans="1:12" s="40" customFormat="1" ht="14.25">
      <c r="A14" s="153" t="s">
        <v>855</v>
      </c>
      <c r="B14" s="282">
        <f>'表25(續1)'!B13/'表25'!B10*100</f>
        <v>2.052117805531073</v>
      </c>
      <c r="C14" s="283">
        <f>'表25(續1)'!C13/'表25'!C10*100</f>
        <v>0.30274802049371213</v>
      </c>
      <c r="D14" s="283">
        <f>'表25(續1)'!D13/'表25'!D10*100</f>
        <v>2.1062864549578744</v>
      </c>
      <c r="E14" s="283">
        <f>'表25(續1)'!E13/'表25'!E10*100</f>
        <v>3.474718427989456</v>
      </c>
      <c r="F14" s="283">
        <f>'表25(續1)'!F13/'表25'!F10*100</f>
        <v>3.3145580589254764</v>
      </c>
      <c r="G14" s="283">
        <f>'表25(續1)'!G13/'表25'!G10*100</f>
        <v>3.5798499464094315</v>
      </c>
      <c r="H14" s="283">
        <f>'表25(續1)'!H13/'表25'!H10*100</f>
        <v>1.7998061747196457</v>
      </c>
      <c r="I14" s="283">
        <f>'表25(續1)'!I13/'表25'!I10*100</f>
        <v>1.4588581024349285</v>
      </c>
      <c r="J14" s="283">
        <f>'表25(續1)'!J13/'表25'!J10*100</f>
        <v>1.9076074465640085</v>
      </c>
      <c r="K14" s="283">
        <f>'表25(續1)'!K13/'表25'!K10*100</f>
        <v>1.6860698514652752</v>
      </c>
      <c r="L14" s="283">
        <f>'表25(續1)'!L13/'表25'!L10*100</f>
        <v>2.039855640985407</v>
      </c>
    </row>
    <row r="15" spans="1:12" s="40" customFormat="1" ht="14.25">
      <c r="A15" s="153" t="s">
        <v>856</v>
      </c>
      <c r="B15" s="282">
        <f>'表25(續1)'!B14/'表25'!B10*100</f>
        <v>3.1214141985265993</v>
      </c>
      <c r="C15" s="283">
        <f>'表25(續1)'!C14/'表25'!C10*100</f>
        <v>2.1425244527247322</v>
      </c>
      <c r="D15" s="283">
        <f>'表25(續1)'!D14/'表25'!D10*100</f>
        <v>6.221646143875567</v>
      </c>
      <c r="E15" s="283">
        <f>'表25(續1)'!E14/'表25'!E10*100</f>
        <v>0.28756290438533433</v>
      </c>
      <c r="F15" s="283">
        <f>'表25(續1)'!F14/'表25'!F10*100</f>
        <v>2.0363951473136916</v>
      </c>
      <c r="G15" s="283">
        <f>'表25(續1)'!G14/'表25'!G10*100</f>
        <v>1.8006430868167203</v>
      </c>
      <c r="H15" s="283">
        <f>'表25(續1)'!H14/'表25'!H10*100</f>
        <v>1.481378928423093</v>
      </c>
      <c r="I15" s="283">
        <f>'表25(續1)'!I14/'表25'!I10*100</f>
        <v>1.4168765743073046</v>
      </c>
      <c r="J15" s="283">
        <f>'表25(續1)'!J14/'表25'!J10*100</f>
        <v>6.515743507239715</v>
      </c>
      <c r="K15" s="283">
        <f>'表25(續1)'!K14/'表25'!K10*100</f>
        <v>3.9341629867523085</v>
      </c>
      <c r="L15" s="283">
        <f>'表25(續1)'!L14/'表25'!L10*100</f>
        <v>4.707359171504786</v>
      </c>
    </row>
    <row r="16" spans="1:12" s="40" customFormat="1" ht="39.75">
      <c r="A16" s="153" t="s">
        <v>334</v>
      </c>
      <c r="B16" s="282">
        <f>'表25(續1)'!B15/'表25'!B10*100</f>
        <v>0.14634227462458216</v>
      </c>
      <c r="C16" s="283">
        <f>'表25(續1)'!C15/'表25'!C10*100</f>
        <v>2.0493712156497437</v>
      </c>
      <c r="D16" s="283">
        <f>'表25(續1)'!D15/'表25'!D10*100</f>
        <v>0</v>
      </c>
      <c r="E16" s="283">
        <f>'表25(續1)'!E15/'表25'!E10*100</f>
        <v>0</v>
      </c>
      <c r="F16" s="283">
        <f>'表25(續1)'!F15/'表25'!F10*100</f>
        <v>0</v>
      </c>
      <c r="G16" s="283">
        <f>'表25(續1)'!G15/'表25'!G10*100</f>
        <v>0</v>
      </c>
      <c r="H16" s="283">
        <f>'表25(續1)'!H15/'表25'!H10*100</f>
        <v>0</v>
      </c>
      <c r="I16" s="283">
        <f>'表25(續1)'!I15/'表25'!I10*100</f>
        <v>0</v>
      </c>
      <c r="J16" s="283">
        <f>'表25(續1)'!J15/'表25'!J10*100</f>
        <v>0</v>
      </c>
      <c r="K16" s="283">
        <f>'表25(續1)'!K15/'表25'!K10*100</f>
        <v>0</v>
      </c>
      <c r="L16" s="283">
        <f>'表25(續1)'!L15/'表25'!L10*100</f>
        <v>0</v>
      </c>
    </row>
    <row r="17" spans="1:12" s="40" customFormat="1" ht="39.75">
      <c r="A17" s="153" t="s">
        <v>344</v>
      </c>
      <c r="B17" s="282">
        <f>'表25(續1)'!B16/'表25'!B10*100</f>
        <v>0.5304907455141104</v>
      </c>
      <c r="C17" s="283">
        <f>'表25(續1)'!C16/'表25'!C10*100</f>
        <v>0</v>
      </c>
      <c r="D17" s="283">
        <f>'表25(續1)'!D16/'表25'!D10*100</f>
        <v>0</v>
      </c>
      <c r="E17" s="283">
        <f>'表25(續1)'!E16/'表25'!E10*100</f>
        <v>0</v>
      </c>
      <c r="F17" s="283">
        <f>'表25(續1)'!F16/'表25'!F10*100</f>
        <v>0</v>
      </c>
      <c r="G17" s="283">
        <f>'表25(續1)'!G16/'表25'!G10*100</f>
        <v>0</v>
      </c>
      <c r="H17" s="283">
        <f>'表25(續1)'!H16/'表25'!H10*100</f>
        <v>0</v>
      </c>
      <c r="I17" s="283">
        <f>'表25(續1)'!I16/'表25'!I10*100</f>
        <v>1.081024349286314</v>
      </c>
      <c r="J17" s="283">
        <f>'表25(續1)'!J16/'表25'!J10*100</f>
        <v>2.4592047805102277</v>
      </c>
      <c r="K17" s="283">
        <v>0</v>
      </c>
      <c r="L17" s="283">
        <f>'表25(續1)'!L16/'表25'!L10*100</f>
        <v>0</v>
      </c>
    </row>
    <row r="18" spans="1:12" s="40" customFormat="1" ht="39.75">
      <c r="A18" s="153" t="s">
        <v>335</v>
      </c>
      <c r="B18" s="282">
        <f>'表25(續1)'!B17/'表25'!B10*100</f>
        <v>3.946252473683335</v>
      </c>
      <c r="C18" s="300">
        <v>0</v>
      </c>
      <c r="D18" s="283">
        <f>'表25(續1)'!D17/'表25'!D10*100</f>
        <v>2.268308489954634</v>
      </c>
      <c r="E18" s="283">
        <f>'表25(續1)'!E17/'表25'!E10*100</f>
        <v>0</v>
      </c>
      <c r="F18" s="300">
        <v>0</v>
      </c>
      <c r="G18" s="283">
        <f>'表25(續1)'!G17/'表25'!G10*100</f>
        <v>0</v>
      </c>
      <c r="H18" s="283">
        <f>'表25(續1)'!H17/'表25'!H10*100</f>
        <v>0</v>
      </c>
      <c r="I18" s="283">
        <f>'表25(續1)'!I17/'表25'!I10*100</f>
        <v>8.480268681780016</v>
      </c>
      <c r="J18" s="283">
        <f>'表25(續1)'!J17/'表25'!J10*100</f>
        <v>0.5975637784417376</v>
      </c>
      <c r="K18" s="283">
        <f>'表25(續1)'!K17/'表25'!K10*100</f>
        <v>5.968152013916767</v>
      </c>
      <c r="L18" s="283">
        <f>'表25(續1)'!L17/'表25'!L10*100</f>
        <v>15.612741252157539</v>
      </c>
    </row>
    <row r="19" spans="1:12" s="40" customFormat="1" ht="14.25">
      <c r="A19" s="175" t="s">
        <v>857</v>
      </c>
      <c r="B19" s="282">
        <f>'表25(續1)'!B18/'表25'!B10*100</f>
        <v>0.8032195300417408</v>
      </c>
      <c r="C19" s="283">
        <f>'表25(續1)'!C18/'表25'!C10*100</f>
        <v>0</v>
      </c>
      <c r="D19" s="283">
        <f>'表25(續1)'!D18/'表25'!D10*100</f>
        <v>5.9948152948801035</v>
      </c>
      <c r="E19" s="283">
        <f>'表25(續1)'!E18/'表25'!E10*100</f>
        <v>0</v>
      </c>
      <c r="F19" s="283">
        <f>'表25(續1)'!F18/'表25'!F10*100</f>
        <v>2.3613518197573655</v>
      </c>
      <c r="G19" s="300">
        <v>0</v>
      </c>
      <c r="H19" s="283">
        <f>'表25(續1)'!H18/'表25'!H10*100</f>
        <v>0.4707185380035996</v>
      </c>
      <c r="I19" s="283">
        <f>'表25(續1)'!I18/'表25'!I10*100</f>
        <v>0.5982367758186398</v>
      </c>
      <c r="J19" s="283">
        <f>'表25(續1)'!J18/'表25'!J10*100</f>
        <v>0.41369800045966443</v>
      </c>
      <c r="K19" s="283">
        <f>'表25(續1)'!K18/'表25'!K10*100</f>
        <v>0.5486417770640974</v>
      </c>
      <c r="L19" s="283">
        <f>'表25(續1)'!L18/'表25'!L10*100</f>
        <v>0.29813274752863644</v>
      </c>
    </row>
    <row r="20" spans="1:12" s="40" customFormat="1" ht="27">
      <c r="A20" s="153" t="s">
        <v>858</v>
      </c>
      <c r="B20" s="282">
        <f>'表25(續1)'!B19/'表25'!B10*100</f>
        <v>0.2743917649210916</v>
      </c>
      <c r="C20" s="283">
        <f>'表25(續1)'!C19/'表25'!C10*100</f>
        <v>0</v>
      </c>
      <c r="D20" s="283">
        <f>'表25(續1)'!D19/'表25'!D10*100</f>
        <v>0</v>
      </c>
      <c r="E20" s="283">
        <f>'表25(續1)'!E19/'表25'!E10*100</f>
        <v>2.4922118380062304</v>
      </c>
      <c r="F20" s="283">
        <f>'表25(續1)'!F19/'表25'!F10*100</f>
        <v>0.08665511265164644</v>
      </c>
      <c r="G20" s="283">
        <f>'表25(續1)'!G19/'表25'!G10*100</f>
        <v>0.7931404072883173</v>
      </c>
      <c r="H20" s="283">
        <f>'表25(續1)'!H19/'表25'!H10*100</f>
        <v>0.2768932576491762</v>
      </c>
      <c r="I20" s="283">
        <f>'表25(續1)'!I19/'表25'!I10*100</f>
        <v>0</v>
      </c>
      <c r="J20" s="283">
        <f>'表25(續1)'!J19/'表25'!J10*100</f>
        <v>0</v>
      </c>
      <c r="K20" s="283">
        <f>'表25(續1)'!K19/'表25'!K10*100</f>
        <v>0</v>
      </c>
      <c r="L20" s="283">
        <f>'表25(續1)'!L19/'表25'!L10*100</f>
        <v>0</v>
      </c>
    </row>
    <row r="21" spans="1:12" s="40" customFormat="1" ht="39.75">
      <c r="A21" s="153" t="s">
        <v>336</v>
      </c>
      <c r="B21" s="282">
        <f>'表25(續1)'!B20/'表25'!B10*100</f>
        <v>0.07816007849267458</v>
      </c>
      <c r="C21" s="283">
        <f>'表25(續1)'!C20/'表25'!C10*100</f>
        <v>0</v>
      </c>
      <c r="D21" s="283">
        <f>'表25(續1)'!D20/'表25'!D10*100</f>
        <v>0</v>
      </c>
      <c r="E21" s="283">
        <f>'表25(續1)'!E20/'表25'!E10*100</f>
        <v>0</v>
      </c>
      <c r="F21" s="283">
        <f>'表25(續1)'!F20/'表25'!F10*100</f>
        <v>0</v>
      </c>
      <c r="G21" s="283">
        <f>'表25(續1)'!G20/'表25'!G10*100</f>
        <v>0</v>
      </c>
      <c r="H21" s="283">
        <f>'表25(續1)'!H20/'表25'!H10*100</f>
        <v>0.3461165720614703</v>
      </c>
      <c r="I21" s="283">
        <f>'表25(續1)'!I20/'表25'!I10*100</f>
        <v>0.23089840470193115</v>
      </c>
      <c r="J21" s="283">
        <f>'表25(續1)'!J20/'表25'!J10*100</f>
        <v>0</v>
      </c>
      <c r="K21" s="283">
        <f>'表25(續1)'!K20/'表25'!K10*100</f>
        <v>0</v>
      </c>
      <c r="L21" s="283">
        <f>'表25(續1)'!L20/'表25'!L10*100</f>
        <v>0</v>
      </c>
    </row>
    <row r="22" spans="1:12" s="40" customFormat="1" ht="45" customHeight="1">
      <c r="A22" s="174" t="s">
        <v>343</v>
      </c>
      <c r="B22" s="282">
        <f>'表25(續1)'!B21/'表25'!B10*100</f>
        <v>0.11308266675535895</v>
      </c>
      <c r="C22" s="283">
        <f>'表25(續1)'!C21/'表25'!C10*100</f>
        <v>0</v>
      </c>
      <c r="D22" s="283">
        <f>'表25(續1)'!D21/'表25'!D10*100</f>
        <v>0</v>
      </c>
      <c r="E22" s="283">
        <f>'表25(續1)'!E21/'表25'!E10*100</f>
        <v>0</v>
      </c>
      <c r="F22" s="283">
        <f>'表25(續1)'!F21/'表25'!F10*100</f>
        <v>0</v>
      </c>
      <c r="G22" s="283">
        <f>'表25(續1)'!G21/'表25'!G10*100</f>
        <v>0</v>
      </c>
      <c r="H22" s="283">
        <f>'表25(續1)'!H21/'表25'!H10*100</f>
        <v>0.9137477502422817</v>
      </c>
      <c r="I22" s="300">
        <v>0</v>
      </c>
      <c r="J22" s="283">
        <f>'表25(續1)'!J21/'表25'!J10*100</f>
        <v>0</v>
      </c>
      <c r="K22" s="300">
        <v>0</v>
      </c>
      <c r="L22" s="283">
        <f>'表25(續1)'!L21/'表25'!L10*100</f>
        <v>0</v>
      </c>
    </row>
    <row r="23" spans="1:12" s="40" customFormat="1" ht="45" customHeight="1">
      <c r="A23" s="339" t="s">
        <v>773</v>
      </c>
      <c r="B23" s="341">
        <f>'表25(續1)'!B22/'表25'!B10*100</f>
        <v>0.14301631383765986</v>
      </c>
      <c r="C23" s="342">
        <f>'表25(續1)'!C22/'表25'!C10*100</f>
        <v>0</v>
      </c>
      <c r="D23" s="342">
        <f>'表25(續1)'!D22/'表25'!D10*100</f>
        <v>0</v>
      </c>
      <c r="E23" s="342">
        <f>'表25(續1)'!E22/'表25'!E10*100</f>
        <v>0</v>
      </c>
      <c r="F23" s="342">
        <f>'表25(續1)'!F22/'表25'!F10*100</f>
        <v>0</v>
      </c>
      <c r="G23" s="342">
        <f>'表25(續1)'!G22/'表25'!G10*100</f>
        <v>0</v>
      </c>
      <c r="H23" s="342">
        <f>'表25(續1)'!H22/'表25'!H10*100</f>
        <v>0</v>
      </c>
      <c r="I23" s="342">
        <f>'表25(續1)'!I22/'表25'!I10*100</f>
        <v>0</v>
      </c>
      <c r="J23" s="342">
        <f>'表25(續1)'!J22/'表25'!J10*100</f>
        <v>0</v>
      </c>
      <c r="K23" s="342">
        <f>'表25(續1)'!K22/'表25'!K10*100</f>
        <v>1.1374280744011775</v>
      </c>
      <c r="L23" s="342">
        <f>'表25(續1)'!L22/'表25'!L10*100</f>
        <v>0.01569119723834929</v>
      </c>
    </row>
    <row r="24" s="86" customFormat="1" ht="15.75"/>
    <row r="34" spans="1:12" ht="15.75">
      <c r="A34" s="458" t="str">
        <f>"- "&amp;Sheet1!D28&amp;" -"</f>
        <v>- 170 -</v>
      </c>
      <c r="B34" s="458"/>
      <c r="C34" s="458"/>
      <c r="D34" s="458"/>
      <c r="E34" s="458"/>
      <c r="F34" s="458" t="str">
        <f>"- "&amp;Sheet1!E28&amp;" -"</f>
        <v>- 171 -</v>
      </c>
      <c r="G34" s="458"/>
      <c r="H34" s="458"/>
      <c r="I34" s="458"/>
      <c r="J34" s="458"/>
      <c r="K34" s="458"/>
      <c r="L34" s="458"/>
    </row>
    <row r="44" ht="15.75">
      <c r="A44" s="328"/>
    </row>
  </sheetData>
  <sheetProtection/>
  <mergeCells count="8">
    <mergeCell ref="A34:E34"/>
    <mergeCell ref="F34:L34"/>
    <mergeCell ref="F2:L2"/>
    <mergeCell ref="G3:K3"/>
    <mergeCell ref="A1:E1"/>
    <mergeCell ref="A2:E2"/>
    <mergeCell ref="A3:D3"/>
    <mergeCell ref="F1:L1"/>
  </mergeCells>
  <printOptions/>
  <pageMargins left="0.6299212598425197" right="0.3937007874015748" top="0.5511811023622047" bottom="0.012254901960784314" header="0.5118110236220472" footer="0.70866141732283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4"/>
  <sheetViews>
    <sheetView view="pageLayout" zoomScale="85" zoomScaleNormal="85" zoomScaleSheetLayoutView="85" zoomScalePageLayoutView="85" workbookViewId="0" topLeftCell="A20">
      <selection activeCell="A39" sqref="A39:E39"/>
    </sheetView>
  </sheetViews>
  <sheetFormatPr defaultColWidth="9.00390625" defaultRowHeight="16.5"/>
  <cols>
    <col min="1" max="1" width="37.00390625" style="79" customWidth="1"/>
    <col min="2" max="4" width="11.125" style="79" customWidth="1"/>
    <col min="5" max="5" width="11.875" style="79" customWidth="1"/>
    <col min="6" max="12" width="12.375" style="79" customWidth="1"/>
    <col min="13" max="16384" width="9.00390625" style="79" customWidth="1"/>
  </cols>
  <sheetData>
    <row r="1" spans="1:12" s="80" customFormat="1" ht="18.75" customHeight="1">
      <c r="A1" s="459" t="s">
        <v>296</v>
      </c>
      <c r="B1" s="459"/>
      <c r="C1" s="459"/>
      <c r="D1" s="459"/>
      <c r="E1" s="459"/>
      <c r="F1" s="483" t="s">
        <v>297</v>
      </c>
      <c r="G1" s="483"/>
      <c r="H1" s="483"/>
      <c r="I1" s="483"/>
      <c r="J1" s="483"/>
      <c r="K1" s="483"/>
      <c r="L1" s="483"/>
    </row>
    <row r="2" spans="1:12" ht="14.25" customHeight="1">
      <c r="A2" s="479" t="s">
        <v>882</v>
      </c>
      <c r="B2" s="479"/>
      <c r="C2" s="479"/>
      <c r="D2" s="479"/>
      <c r="E2" s="479"/>
      <c r="F2" s="403" t="s">
        <v>449</v>
      </c>
      <c r="G2" s="403"/>
      <c r="H2" s="403"/>
      <c r="I2" s="403"/>
      <c r="J2" s="403"/>
      <c r="K2" s="403"/>
      <c r="L2" s="403"/>
    </row>
    <row r="3" spans="1:12" s="75" customFormat="1" ht="15" customHeight="1">
      <c r="A3" s="474" t="s">
        <v>831</v>
      </c>
      <c r="B3" s="475"/>
      <c r="C3" s="475"/>
      <c r="D3" s="475"/>
      <c r="E3" s="4" t="s">
        <v>815</v>
      </c>
      <c r="F3" s="21"/>
      <c r="G3" s="476" t="s">
        <v>832</v>
      </c>
      <c r="H3" s="476"/>
      <c r="I3" s="476"/>
      <c r="J3" s="476"/>
      <c r="K3" s="476"/>
      <c r="L3" s="21" t="s">
        <v>447</v>
      </c>
    </row>
    <row r="4" spans="1:12" s="40" customFormat="1" ht="33" customHeight="1">
      <c r="A4" s="125" t="s">
        <v>872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171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0" s="11" customFormat="1" ht="3.75" customHeight="1">
      <c r="A5" s="160"/>
      <c r="B5" s="159"/>
      <c r="C5" s="160"/>
      <c r="D5" s="160"/>
      <c r="E5" s="160"/>
      <c r="F5" s="160"/>
      <c r="G5" s="160"/>
      <c r="H5" s="160"/>
      <c r="I5" s="160"/>
      <c r="J5" s="160"/>
    </row>
    <row r="6" spans="1:12" s="40" customFormat="1" ht="27">
      <c r="A6" s="176" t="s">
        <v>346</v>
      </c>
      <c r="B6" s="320">
        <f>SUM(B7:B11)</f>
        <v>100</v>
      </c>
      <c r="C6" s="320">
        <v>100</v>
      </c>
      <c r="D6" s="320">
        <v>100</v>
      </c>
      <c r="E6" s="320">
        <v>100</v>
      </c>
      <c r="F6" s="320">
        <v>100</v>
      </c>
      <c r="G6" s="320">
        <v>100</v>
      </c>
      <c r="H6" s="320">
        <v>100</v>
      </c>
      <c r="I6" s="320">
        <v>100</v>
      </c>
      <c r="J6" s="320">
        <v>100</v>
      </c>
      <c r="K6" s="320">
        <v>100</v>
      </c>
      <c r="L6" s="320">
        <f>SUM(L7:L11)</f>
        <v>100</v>
      </c>
    </row>
    <row r="7" spans="1:12" s="42" customFormat="1" ht="27">
      <c r="A7" s="153" t="s">
        <v>347</v>
      </c>
      <c r="B7" s="282">
        <f>'表25(續完)'!B6/'表25(續完)'!B5*100</f>
        <v>23.106186230710705</v>
      </c>
      <c r="C7" s="283">
        <f>'表25(續完)'!C6/'表25(續完)'!C5*100</f>
        <v>0</v>
      </c>
      <c r="D7" s="283">
        <f>'表25(續完)'!D6/'表25(續完)'!D5*100</f>
        <v>14.4874715261959</v>
      </c>
      <c r="E7" s="283">
        <f>'表25(續完)'!E6/'表25(續完)'!E5*100</f>
        <v>19.909575326982075</v>
      </c>
      <c r="F7" s="283">
        <f>'表25(續完)'!F6/'表25(續完)'!F5*100</f>
        <v>22.816265060240966</v>
      </c>
      <c r="G7" s="283">
        <f>'表25(續完)'!G6/'表25(續完)'!G5*100</f>
        <v>28.870710295291303</v>
      </c>
      <c r="H7" s="283">
        <f>'表25(續完)'!H6/'表25(續完)'!H5*100</f>
        <v>28.089656590581946</v>
      </c>
      <c r="I7" s="283">
        <f>'表25(續完)'!I6/'表25(續完)'!I5*100</f>
        <v>33.773154021821874</v>
      </c>
      <c r="J7" s="283">
        <f>'表25(續完)'!J6/'表25(續完)'!J5*100</f>
        <v>37.808807733619766</v>
      </c>
      <c r="K7" s="283">
        <f>'表25(續完)'!K6/'表25(續完)'!K5*100</f>
        <v>30.403172504957038</v>
      </c>
      <c r="L7" s="283">
        <f>'表25(續完)'!L6/'表25(續完)'!L5*100</f>
        <v>31.33153862083247</v>
      </c>
    </row>
    <row r="8" spans="1:12" s="40" customFormat="1" ht="39.75">
      <c r="A8" s="153" t="s">
        <v>1006</v>
      </c>
      <c r="B8" s="282">
        <f>'表25(續完)'!B7/'表25(續完)'!B5*100</f>
        <v>33.198072533603856</v>
      </c>
      <c r="C8" s="283">
        <f>'表25(續完)'!C7/'表25(續完)'!C5*100</f>
        <v>27.918862801469412</v>
      </c>
      <c r="D8" s="283">
        <f>'表25(續完)'!D7/'表25(續完)'!D5*100</f>
        <v>27.744874715261957</v>
      </c>
      <c r="E8" s="283">
        <f>'表25(續完)'!E7/'表25(續完)'!E5*100</f>
        <v>25.819473599224928</v>
      </c>
      <c r="F8" s="283">
        <f>'表25(續完)'!F7/'表25(續完)'!F5*100</f>
        <v>31.306475903614455</v>
      </c>
      <c r="G8" s="283">
        <f>'表25(續完)'!G7/'表25(續完)'!G5*100</f>
        <v>31.584197924980046</v>
      </c>
      <c r="H8" s="283">
        <f>'表25(續完)'!H7/'表25(續完)'!H5*100</f>
        <v>34.93728151346905</v>
      </c>
      <c r="I8" s="283">
        <f>'表25(續完)'!I7/'表25(續完)'!I5*100</f>
        <v>41.56305506216697</v>
      </c>
      <c r="J8" s="283">
        <f>'表25(續完)'!J7/'表25(續完)'!J5*100</f>
        <v>44.73684210526316</v>
      </c>
      <c r="K8" s="283">
        <f>'表25(續完)'!K7/'表25(續完)'!K5*100</f>
        <v>39.854593522802375</v>
      </c>
      <c r="L8" s="283">
        <f>'表25(續完)'!L7/'表25(續完)'!L5*100</f>
        <v>36.964174777386624</v>
      </c>
    </row>
    <row r="9" spans="1:17" s="40" customFormat="1" ht="39.75">
      <c r="A9" s="153" t="s">
        <v>1007</v>
      </c>
      <c r="B9" s="282">
        <f>'表25(續完)'!B8/'表25(續完)'!B5*100</f>
        <v>37.15835267952945</v>
      </c>
      <c r="C9" s="283">
        <f>'表25(續完)'!C8/'表25(續完)'!C5*100</f>
        <v>61.4758025874461</v>
      </c>
      <c r="D9" s="283">
        <f>'表25(續完)'!D8/'表25(續完)'!D5*100</f>
        <v>48.792710706150345</v>
      </c>
      <c r="E9" s="283">
        <f>'表25(續完)'!E8/'表25(續完)'!E5*100</f>
        <v>46.03584692394639</v>
      </c>
      <c r="F9" s="283">
        <f>'表25(續完)'!F8/'表25(續完)'!F5*100</f>
        <v>43.03463855421687</v>
      </c>
      <c r="G9" s="283">
        <f>'表25(續完)'!G8/'表25(續完)'!G5*100</f>
        <v>36.87150837988827</v>
      </c>
      <c r="H9" s="283">
        <f>'表25(續完)'!H8/'表25(續完)'!H5*100</f>
        <v>33.600658030022615</v>
      </c>
      <c r="I9" s="283">
        <f>'表25(續完)'!I8/'表25(續完)'!I5*100</f>
        <v>12.53488962192337</v>
      </c>
      <c r="J9" s="283">
        <f>'表25(續完)'!J8/'表25(續完)'!J5*100</f>
        <v>12.218045112781954</v>
      </c>
      <c r="K9" s="283">
        <f>'表25(續完)'!K8/'表25(續完)'!K5*100</f>
        <v>24.586913417052216</v>
      </c>
      <c r="L9" s="283">
        <f>'表25(續完)'!L8/'表25(續完)'!L5*100</f>
        <v>26.94139573410644</v>
      </c>
      <c r="M9" s="42"/>
      <c r="N9" s="42"/>
      <c r="O9" s="42"/>
      <c r="P9" s="42"/>
      <c r="Q9" s="42"/>
    </row>
    <row r="10" spans="1:12" s="40" customFormat="1" ht="39.75">
      <c r="A10" s="153" t="s">
        <v>348</v>
      </c>
      <c r="B10" s="282">
        <f>'表25(續完)'!B9/'表25(續完)'!B5*100</f>
        <v>5.294679958641409</v>
      </c>
      <c r="C10" s="283">
        <f>'表25(續完)'!C9/'表25(續完)'!C5*100</f>
        <v>10.60533461108449</v>
      </c>
      <c r="D10" s="283">
        <f>'表25(續完)'!D9/'表25(續完)'!D5*100</f>
        <v>8.974943052391799</v>
      </c>
      <c r="E10" s="283">
        <f>'表25(續完)'!E9/'表25(續完)'!E5*100</f>
        <v>8.2351041498466</v>
      </c>
      <c r="F10" s="283">
        <f>'表25(續完)'!F9/'表25(續完)'!F5*100</f>
        <v>2.8426204819277108</v>
      </c>
      <c r="G10" s="283">
        <f>'表25(續完)'!G9/'表25(續完)'!G5*100</f>
        <v>2.6735833998403833</v>
      </c>
      <c r="H10" s="283">
        <f>'表25(續完)'!H9/'表25(續完)'!H5*100</f>
        <v>3.372403865926383</v>
      </c>
      <c r="I10" s="283">
        <f>'表25(續完)'!I9/'表25(續完)'!I5*100</f>
        <v>2.9434153768079168</v>
      </c>
      <c r="J10" s="283">
        <f>'表25(續完)'!J9/'表25(續完)'!J5*100</f>
        <v>2.7389903329752956</v>
      </c>
      <c r="K10" s="283">
        <f>'表25(續完)'!K9/'表25(續完)'!K5*100</f>
        <v>2.952192112800176</v>
      </c>
      <c r="L10" s="283">
        <f>'表25(續完)'!L9/'表25(續完)'!L5*100</f>
        <v>3.0648167322427002</v>
      </c>
    </row>
    <row r="11" spans="1:12" s="40" customFormat="1" ht="27">
      <c r="A11" s="153" t="s">
        <v>772</v>
      </c>
      <c r="B11" s="282">
        <f>'表25(續完)'!B10/'表25(續完)'!B5*100</f>
        <v>1.2427085975145828</v>
      </c>
      <c r="C11" s="283">
        <f>'表25(續完)'!C10/'表25(續完)'!C5*100</f>
        <v>0</v>
      </c>
      <c r="D11" s="283">
        <f>'表25(續完)'!D10/'表25(續完)'!D5*100</f>
        <v>0</v>
      </c>
      <c r="E11" s="283">
        <f>'表25(續完)'!E10/'表25(續完)'!E5*100</f>
        <v>0</v>
      </c>
      <c r="F11" s="283">
        <f>'表25(續完)'!F10/'表25(續完)'!F5*100</f>
        <v>0</v>
      </c>
      <c r="G11" s="283">
        <f>'表25(續完)'!G10/'表25(續完)'!G5*100</f>
        <v>0</v>
      </c>
      <c r="H11" s="283">
        <f>'表25(續完)'!H10/'表25(續完)'!H5*100</f>
        <v>0</v>
      </c>
      <c r="I11" s="283">
        <f>'表25(續完)'!I10/'表25(續完)'!I5*100</f>
        <v>9.185485917279879</v>
      </c>
      <c r="J11" s="283">
        <f>'表25(續完)'!J10/'表25(續完)'!J5*100</f>
        <v>2.497314715359828</v>
      </c>
      <c r="K11" s="283">
        <f>'表25(續完)'!K10/'表25(續完)'!K5*100</f>
        <v>2.2031284423881914</v>
      </c>
      <c r="L11" s="283">
        <f>'表25(續完)'!L10/'表25(續完)'!L5*100</f>
        <v>1.6980741354317663</v>
      </c>
    </row>
    <row r="12" spans="1:12" s="40" customFormat="1" ht="18" customHeight="1">
      <c r="A12" s="175"/>
      <c r="B12" s="282"/>
      <c r="C12" s="283"/>
      <c r="D12" s="283"/>
      <c r="E12" s="283"/>
      <c r="F12" s="283"/>
      <c r="G12" s="283"/>
      <c r="H12" s="283"/>
      <c r="I12" s="283"/>
      <c r="J12" s="283"/>
      <c r="K12" s="283"/>
      <c r="L12" s="319"/>
    </row>
    <row r="13" spans="1:12" s="42" customFormat="1" ht="27">
      <c r="A13" s="176" t="s">
        <v>349</v>
      </c>
      <c r="B13" s="280">
        <f aca="true" t="shared" si="0" ref="B13:L13">SUM(B14:B16)</f>
        <v>100</v>
      </c>
      <c r="C13" s="281">
        <f t="shared" si="0"/>
        <v>100</v>
      </c>
      <c r="D13" s="281">
        <f t="shared" si="0"/>
        <v>100</v>
      </c>
      <c r="E13" s="281">
        <f t="shared" si="0"/>
        <v>100</v>
      </c>
      <c r="F13" s="281">
        <f t="shared" si="0"/>
        <v>100</v>
      </c>
      <c r="G13" s="281">
        <f t="shared" si="0"/>
        <v>100</v>
      </c>
      <c r="H13" s="281">
        <f t="shared" si="0"/>
        <v>99.99999999999999</v>
      </c>
      <c r="I13" s="281">
        <f t="shared" si="0"/>
        <v>100</v>
      </c>
      <c r="J13" s="281">
        <f t="shared" si="0"/>
        <v>100</v>
      </c>
      <c r="K13" s="281">
        <f t="shared" si="0"/>
        <v>100</v>
      </c>
      <c r="L13" s="281">
        <f t="shared" si="0"/>
        <v>100</v>
      </c>
    </row>
    <row r="14" spans="1:12" s="40" customFormat="1" ht="14.25">
      <c r="A14" s="153" t="s">
        <v>21</v>
      </c>
      <c r="B14" s="282">
        <f>'表25(續完)'!B13/'表25(續完)'!B12*100</f>
        <v>17.492012779552716</v>
      </c>
      <c r="C14" s="283">
        <f>'表25(續完)'!C13/'表25(續完)'!C12*100</f>
        <v>0</v>
      </c>
      <c r="D14" s="283">
        <f>'表25(續完)'!D13/'表25(續完)'!D12*100</f>
        <v>47.27272727272727</v>
      </c>
      <c r="E14" s="283">
        <f>'表25(續完)'!E13/'表25(續完)'!E12*100</f>
        <v>0</v>
      </c>
      <c r="F14" s="283">
        <f>'表25(續完)'!F13/'表25(續完)'!F12*100</f>
        <v>25.43352601156069</v>
      </c>
      <c r="G14" s="283">
        <f>'表25(續完)'!G13/'表25(續完)'!G12*100</f>
        <v>11.34020618556701</v>
      </c>
      <c r="H14" s="283">
        <f>'表25(續完)'!H13/'表25(續完)'!H12*100</f>
        <v>21.965317919075144</v>
      </c>
      <c r="I14" s="283">
        <f>'表25(續完)'!I13/'表25(續完)'!I12*100</f>
        <v>18.243243243243242</v>
      </c>
      <c r="J14" s="283">
        <f>'表25(續完)'!J13/'表25(續完)'!J12*100</f>
        <v>10.294117647058822</v>
      </c>
      <c r="K14" s="283">
        <f>'表25(續完)'!K13/'表25(續完)'!K12*100</f>
        <v>12.82051282051282</v>
      </c>
      <c r="L14" s="283">
        <f>'表25(續完)'!L13/'表25(續完)'!L12*100</f>
        <v>17.010309278350515</v>
      </c>
    </row>
    <row r="15" spans="1:12" s="40" customFormat="1" ht="39.75">
      <c r="A15" s="153" t="s">
        <v>1008</v>
      </c>
      <c r="B15" s="282">
        <f>'表25(續完)'!B14/'表25(續完)'!B12*100</f>
        <v>65.01597444089457</v>
      </c>
      <c r="C15" s="283">
        <f>'表25(續完)'!C14/'表25(續完)'!C12*100</f>
        <v>100</v>
      </c>
      <c r="D15" s="283">
        <f>'表25(續完)'!D14/'表25(續完)'!D12*100</f>
        <v>52.72727272727272</v>
      </c>
      <c r="E15" s="283">
        <f>'表25(續完)'!E14/'表25(續完)'!E12*100</f>
        <v>100</v>
      </c>
      <c r="F15" s="283">
        <f>'表25(續完)'!F14/'表25(續完)'!F12*100</f>
        <v>61.849710982658955</v>
      </c>
      <c r="G15" s="283">
        <f>'表25(續完)'!G14/'表25(續完)'!G12*100</f>
        <v>76.80412371134021</v>
      </c>
      <c r="H15" s="283">
        <f>'表25(續完)'!H14/'表25(續完)'!H12*100</f>
        <v>52.02312138728323</v>
      </c>
      <c r="I15" s="283">
        <f>'表25(續完)'!I14/'表25(續完)'!I12*100</f>
        <v>67.56756756756756</v>
      </c>
      <c r="J15" s="283">
        <f>'表25(續完)'!J14/'表25(續完)'!J12*100</f>
        <v>58.08823529411765</v>
      </c>
      <c r="K15" s="283">
        <f>'表25(續完)'!K14/'表25(續完)'!K12*100</f>
        <v>56.41025641025641</v>
      </c>
      <c r="L15" s="283">
        <f>'表25(續完)'!L14/'表25(續完)'!L12*100</f>
        <v>68.04123711340206</v>
      </c>
    </row>
    <row r="16" spans="1:12" s="40" customFormat="1" ht="27">
      <c r="A16" s="153" t="s">
        <v>22</v>
      </c>
      <c r="B16" s="282">
        <f>'表25(續完)'!B15/'表25(續完)'!B12*100</f>
        <v>17.492012779552716</v>
      </c>
      <c r="C16" s="283">
        <f>'表25(續完)'!C15/'表25(續完)'!C12*100</f>
        <v>0</v>
      </c>
      <c r="D16" s="283">
        <f>'表25(續完)'!D15/'表25(續完)'!D12*100</f>
        <v>0</v>
      </c>
      <c r="E16" s="283">
        <f>'表25(續完)'!E15/'表25(續完)'!E12*100</f>
        <v>0</v>
      </c>
      <c r="F16" s="283">
        <f>'表25(續完)'!F15/'表25(續完)'!F12*100</f>
        <v>12.716763005780345</v>
      </c>
      <c r="G16" s="283">
        <f>'表25(續完)'!G15/'表25(續完)'!G12*100</f>
        <v>11.855670103092782</v>
      </c>
      <c r="H16" s="283">
        <f>'表25(續完)'!H15/'表25(續完)'!H12*100</f>
        <v>26.011560693641616</v>
      </c>
      <c r="I16" s="283">
        <f>'表25(續完)'!I15/'表25(續完)'!I12*100</f>
        <v>14.18918918918919</v>
      </c>
      <c r="J16" s="283">
        <f>'表25(續完)'!J15/'表25(續完)'!J12*100</f>
        <v>31.61764705882353</v>
      </c>
      <c r="K16" s="283">
        <f>'表25(續完)'!K15/'表25(續完)'!K12*100</f>
        <v>30.76923076923077</v>
      </c>
      <c r="L16" s="283">
        <f>'表25(續完)'!L15/'表25(續完)'!L12*100</f>
        <v>14.948453608247423</v>
      </c>
    </row>
    <row r="17" spans="1:12" ht="15.75">
      <c r="A17" s="242"/>
      <c r="B17" s="279"/>
      <c r="C17" s="319"/>
      <c r="D17" s="279"/>
      <c r="E17" s="319"/>
      <c r="F17" s="319"/>
      <c r="G17" s="319"/>
      <c r="H17" s="319"/>
      <c r="I17" s="319"/>
      <c r="J17" s="319"/>
      <c r="K17" s="319"/>
      <c r="L17" s="319"/>
    </row>
    <row r="18" spans="1:12" ht="30" customHeight="1">
      <c r="A18" s="176" t="s">
        <v>686</v>
      </c>
      <c r="B18" s="309">
        <v>100</v>
      </c>
      <c r="C18" s="321" t="s">
        <v>40</v>
      </c>
      <c r="D18" s="321" t="s">
        <v>41</v>
      </c>
      <c r="E18" s="321" t="s">
        <v>42</v>
      </c>
      <c r="F18" s="321" t="s">
        <v>41</v>
      </c>
      <c r="G18" s="321" t="s">
        <v>45</v>
      </c>
      <c r="H18" s="321" t="s">
        <v>45</v>
      </c>
      <c r="I18" s="321" t="s">
        <v>41</v>
      </c>
      <c r="J18" s="321" t="s">
        <v>44</v>
      </c>
      <c r="K18" s="321" t="s">
        <v>43</v>
      </c>
      <c r="L18" s="309">
        <v>100</v>
      </c>
    </row>
    <row r="19" spans="1:12" s="40" customFormat="1" ht="18.75" customHeight="1">
      <c r="A19" s="153"/>
      <c r="B19" s="282"/>
      <c r="C19" s="283"/>
      <c r="D19" s="283"/>
      <c r="E19" s="283"/>
      <c r="F19" s="283"/>
      <c r="G19" s="283"/>
      <c r="H19" s="283"/>
      <c r="I19" s="283"/>
      <c r="J19" s="283"/>
      <c r="K19" s="283"/>
      <c r="L19" s="283"/>
    </row>
    <row r="20" spans="1:12" s="40" customFormat="1" ht="14.25">
      <c r="A20" s="176" t="s">
        <v>685</v>
      </c>
      <c r="B20" s="280">
        <f>SUM(B21:B25)</f>
        <v>100</v>
      </c>
      <c r="C20" s="281">
        <v>100</v>
      </c>
      <c r="D20" s="281">
        <v>100</v>
      </c>
      <c r="E20" s="281">
        <v>100</v>
      </c>
      <c r="F20" s="281">
        <v>100</v>
      </c>
      <c r="G20" s="281">
        <v>100</v>
      </c>
      <c r="H20" s="281">
        <v>100</v>
      </c>
      <c r="I20" s="281">
        <v>100</v>
      </c>
      <c r="J20" s="281">
        <v>100</v>
      </c>
      <c r="K20" s="281">
        <v>100</v>
      </c>
      <c r="L20" s="281">
        <f>SUM(L21:L25)</f>
        <v>100</v>
      </c>
    </row>
    <row r="21" spans="1:12" s="40" customFormat="1" ht="14.25">
      <c r="A21" s="153" t="s">
        <v>341</v>
      </c>
      <c r="B21" s="283">
        <f>'表25(續完)'!B20/'表25(續完)'!B19*100</f>
        <v>10.737925962245647</v>
      </c>
      <c r="C21" s="283">
        <f>'表25(續完)'!C20/'表25(續完)'!C19*100</f>
        <v>5.0602409638554215</v>
      </c>
      <c r="D21" s="283">
        <f>'表25(續完)'!D20/'表25(續完)'!D19*100</f>
        <v>5.985037406483791</v>
      </c>
      <c r="E21" s="283">
        <f>'表25(續完)'!E20/'表25(續完)'!E19*100</f>
        <v>3.9812646370023423</v>
      </c>
      <c r="F21" s="283">
        <f>'表25(續完)'!F20/'表25(續完)'!F19*100</f>
        <v>25.865580448065174</v>
      </c>
      <c r="G21" s="283">
        <f>'表25(續完)'!G20/'表25(續完)'!G19*100</f>
        <v>16.885245901639344</v>
      </c>
      <c r="H21" s="283">
        <f>'表25(續完)'!H20/'表25(續完)'!H19*100</f>
        <v>11.730205278592376</v>
      </c>
      <c r="I21" s="283">
        <f>'表25(續完)'!I20/'表25(續完)'!I19*100</f>
        <v>14.042553191489363</v>
      </c>
      <c r="J21" s="283">
        <f>'表25(續完)'!J20/'表25(續完)'!J19*100</f>
        <v>0</v>
      </c>
      <c r="K21" s="283">
        <f>'表25(續完)'!K20/'表25(續完)'!K19*100</f>
        <v>0</v>
      </c>
      <c r="L21" s="283">
        <f>'表25(續完)'!L20/'表25(續完)'!L19*100</f>
        <v>0</v>
      </c>
    </row>
    <row r="22" spans="1:12" s="40" customFormat="1" ht="14.25">
      <c r="A22" s="153" t="s">
        <v>337</v>
      </c>
      <c r="B22" s="283">
        <f>'表25(續完)'!B21/'表25(續完)'!B19*100</f>
        <v>22.677126746751654</v>
      </c>
      <c r="C22" s="283">
        <f>'表25(續完)'!C21/'表25(續完)'!C19*100</f>
        <v>16.626506024096386</v>
      </c>
      <c r="D22" s="283">
        <f>'表25(續完)'!D21/'表25(續完)'!D19*100</f>
        <v>15.710723192019952</v>
      </c>
      <c r="E22" s="283">
        <f>'表25(續完)'!E21/'表25(續完)'!E19*100</f>
        <v>16.159250585480095</v>
      </c>
      <c r="F22" s="283">
        <f>'表25(續完)'!F21/'表25(續完)'!F19*100</f>
        <v>13.64562118126273</v>
      </c>
      <c r="G22" s="283">
        <f>'表25(續完)'!G21/'表25(續完)'!G19*100</f>
        <v>30</v>
      </c>
      <c r="H22" s="283">
        <f>'表25(續完)'!H21/'表25(續完)'!H19*100</f>
        <v>33.724340175953074</v>
      </c>
      <c r="I22" s="283">
        <f>'表25(續完)'!I21/'表25(續完)'!I19*100</f>
        <v>28.723404255319153</v>
      </c>
      <c r="J22" s="283">
        <f>'表25(續完)'!J21/'表25(續完)'!J19*100</f>
        <v>0</v>
      </c>
      <c r="K22" s="283">
        <f>'表25(續完)'!K21/'表25(續完)'!K19*100</f>
        <v>29.292929292929294</v>
      </c>
      <c r="L22" s="283">
        <f>'表25(續完)'!L21/'表25(續完)'!L19*100</f>
        <v>22.17391304347826</v>
      </c>
    </row>
    <row r="23" spans="1:12" s="40" customFormat="1" ht="27">
      <c r="A23" s="153" t="s">
        <v>338</v>
      </c>
      <c r="B23" s="283">
        <f>'表25(續完)'!B22/'表25(續完)'!B19*100</f>
        <v>27.923510664378526</v>
      </c>
      <c r="C23" s="283">
        <f>'表25(續完)'!C22/'表25(續完)'!C19*100</f>
        <v>31.566265060240962</v>
      </c>
      <c r="D23" s="283">
        <f>'表25(續完)'!D22/'表25(續完)'!D19*100</f>
        <v>35.16209476309227</v>
      </c>
      <c r="E23" s="283">
        <f>'表25(續完)'!E22/'表25(續完)'!E19*100</f>
        <v>31.61592505854801</v>
      </c>
      <c r="F23" s="283">
        <f>'表25(續完)'!F22/'表25(續完)'!F19*100</f>
        <v>23.421588594704684</v>
      </c>
      <c r="G23" s="283">
        <f>'表25(續完)'!G22/'表25(續完)'!G19*100</f>
        <v>22.131147540983605</v>
      </c>
      <c r="H23" s="283">
        <f>'表25(續完)'!H22/'表25(續完)'!H19*100</f>
        <v>28.152492668621704</v>
      </c>
      <c r="I23" s="283">
        <f>'表25(續完)'!I22/'表25(續完)'!I19*100</f>
        <v>26.595744680851062</v>
      </c>
      <c r="J23" s="283">
        <f>'表25(續完)'!J22/'表25(續完)'!J19*100</f>
        <v>26.451612903225808</v>
      </c>
      <c r="K23" s="283">
        <f>'表25(續完)'!K22/'表25(續完)'!K19*100</f>
        <v>27.77777777777778</v>
      </c>
      <c r="L23" s="283">
        <f>'表25(續完)'!L22/'表25(續完)'!L19*100</f>
        <v>30</v>
      </c>
    </row>
    <row r="24" spans="1:12" s="40" customFormat="1" ht="27">
      <c r="A24" s="153" t="s">
        <v>339</v>
      </c>
      <c r="B24" s="283">
        <f>'表25(續完)'!B23/'表25(續完)'!B19*100</f>
        <v>19.490071095856827</v>
      </c>
      <c r="C24" s="283">
        <f>'表25(續完)'!C23/'表25(續完)'!C19*100</f>
        <v>22.40963855421687</v>
      </c>
      <c r="D24" s="283">
        <f>'表25(續完)'!D23/'表25(續完)'!D19*100</f>
        <v>21.197007481296758</v>
      </c>
      <c r="E24" s="283">
        <f>'表25(續完)'!E23/'表25(續完)'!E19*100</f>
        <v>31.381733021077284</v>
      </c>
      <c r="F24" s="283">
        <f>'表25(續完)'!F23/'表25(續完)'!F19*100</f>
        <v>25.050916496945007</v>
      </c>
      <c r="G24" s="283">
        <f>'表25(續完)'!G23/'表25(續完)'!G19*100</f>
        <v>17.704918032786885</v>
      </c>
      <c r="H24" s="283">
        <f>'表25(續完)'!H23/'表25(續完)'!H19*100</f>
        <v>16.862170087976537</v>
      </c>
      <c r="I24" s="283">
        <f>'表25(續完)'!I23/'表25(續完)'!I19*100</f>
        <v>12.76595744680851</v>
      </c>
      <c r="J24" s="283">
        <f>'表25(續完)'!J23/'表25(續完)'!J19*100</f>
        <v>10.967741935483872</v>
      </c>
      <c r="K24" s="283">
        <f>'表25(續完)'!K23/'表25(續完)'!K19*100</f>
        <v>13.131313131313133</v>
      </c>
      <c r="L24" s="283">
        <f>'表25(續完)'!L23/'表25(續完)'!L19*100</f>
        <v>14.782608695652174</v>
      </c>
    </row>
    <row r="25" spans="1:12" s="40" customFormat="1" ht="39.75">
      <c r="A25" s="153" t="s">
        <v>340</v>
      </c>
      <c r="B25" s="283">
        <f>'表25(續完)'!B24/'表25(續完)'!B19*100</f>
        <v>19.171365530767346</v>
      </c>
      <c r="C25" s="283">
        <f>'表25(續完)'!C24/'表25(續完)'!C19*100</f>
        <v>24.337349397590362</v>
      </c>
      <c r="D25" s="283">
        <f>'表25(續完)'!D24/'表25(續完)'!D19*100</f>
        <v>21.94513715710723</v>
      </c>
      <c r="E25" s="283">
        <f>'表25(續完)'!E24/'表25(續完)'!E19*100</f>
        <v>16.861826697892273</v>
      </c>
      <c r="F25" s="283">
        <f>'表25(續完)'!F24/'表25(續完)'!F19*100</f>
        <v>12.016293279022404</v>
      </c>
      <c r="G25" s="283">
        <f>'表25(續完)'!G24/'表25(續完)'!G19*100</f>
        <v>13.278688524590162</v>
      </c>
      <c r="H25" s="283">
        <f>'表25(續完)'!H24/'表25(續完)'!H19*100</f>
        <v>9.530791788856305</v>
      </c>
      <c r="I25" s="283">
        <f>'表25(續完)'!I24/'表25(續完)'!I19*100</f>
        <v>17.872340425531917</v>
      </c>
      <c r="J25" s="283">
        <f>'表25(續完)'!J24/'表25(續完)'!J19*100</f>
        <v>62.58064516129033</v>
      </c>
      <c r="K25" s="283">
        <f>'表25(續完)'!K24/'表25(續完)'!K19*100</f>
        <v>29.797979797979796</v>
      </c>
      <c r="L25" s="283">
        <f>'表25(續完)'!L24/'表25(續完)'!L19*100</f>
        <v>33.04347826086956</v>
      </c>
    </row>
    <row r="26" spans="1:12" s="86" customFormat="1" ht="8.25" customHeight="1">
      <c r="A26" s="227"/>
      <c r="B26" s="344"/>
      <c r="C26" s="227"/>
      <c r="D26" s="227"/>
      <c r="E26" s="227"/>
      <c r="F26" s="227"/>
      <c r="G26" s="227"/>
      <c r="H26" s="227"/>
      <c r="I26" s="227"/>
      <c r="J26" s="227"/>
      <c r="K26" s="227"/>
      <c r="L26" s="227"/>
    </row>
    <row r="39" spans="1:12" ht="15.75">
      <c r="A39" s="458" t="str">
        <f>"- "&amp;Sheet1!F28&amp;" -"</f>
        <v>- 172 -</v>
      </c>
      <c r="B39" s="458"/>
      <c r="C39" s="458"/>
      <c r="D39" s="458"/>
      <c r="E39" s="458"/>
      <c r="F39" s="458" t="str">
        <f>"- "&amp;Sheet1!G28&amp;" -"</f>
        <v>- 173 -</v>
      </c>
      <c r="G39" s="458"/>
      <c r="H39" s="458"/>
      <c r="I39" s="458"/>
      <c r="J39" s="458"/>
      <c r="K39" s="458"/>
      <c r="L39" s="458"/>
    </row>
    <row r="44" ht="15.75">
      <c r="A44" s="328"/>
    </row>
  </sheetData>
  <sheetProtection/>
  <mergeCells count="8">
    <mergeCell ref="A39:E39"/>
    <mergeCell ref="F39:L39"/>
    <mergeCell ref="A1:E1"/>
    <mergeCell ref="A2:E2"/>
    <mergeCell ref="A3:D3"/>
    <mergeCell ref="G3:K3"/>
    <mergeCell ref="F1:L1"/>
    <mergeCell ref="F2:L2"/>
  </mergeCells>
  <printOptions/>
  <pageMargins left="0.6299212598425197" right="0.3937007874015748" top="0.5511811023622047" bottom="0.012254901960784314" header="0.5118110236220472" footer="0.70866141732283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1"/>
  <sheetViews>
    <sheetView view="pageLayout" zoomScaleNormal="85" zoomScaleSheetLayoutView="85" workbookViewId="0" topLeftCell="A22">
      <selection activeCell="A39" sqref="A39"/>
    </sheetView>
  </sheetViews>
  <sheetFormatPr defaultColWidth="9.00390625" defaultRowHeight="16.5"/>
  <cols>
    <col min="1" max="1" width="38.75390625" style="79" customWidth="1"/>
    <col min="2" max="2" width="11.75390625" style="79" customWidth="1"/>
    <col min="3" max="3" width="11.375" style="79" customWidth="1"/>
    <col min="4" max="4" width="11.125" style="79" customWidth="1"/>
    <col min="5" max="5" width="11.875" style="79" customWidth="1"/>
    <col min="6" max="12" width="12.375" style="79" customWidth="1"/>
    <col min="13" max="16384" width="9.00390625" style="79" customWidth="1"/>
  </cols>
  <sheetData>
    <row r="1" spans="1:13" s="80" customFormat="1" ht="19.5" customHeight="1">
      <c r="A1" s="459" t="s">
        <v>884</v>
      </c>
      <c r="B1" s="459"/>
      <c r="C1" s="459"/>
      <c r="D1" s="459"/>
      <c r="E1" s="459"/>
      <c r="F1" s="463" t="s">
        <v>202</v>
      </c>
      <c r="G1" s="463"/>
      <c r="H1" s="463"/>
      <c r="I1" s="463"/>
      <c r="J1" s="463"/>
      <c r="K1" s="463"/>
      <c r="L1" s="463"/>
      <c r="M1" s="20"/>
    </row>
    <row r="2" spans="1:12" ht="3" customHeight="1">
      <c r="A2" s="11"/>
      <c r="B2" s="34"/>
      <c r="C2" s="34"/>
      <c r="D2" s="34"/>
      <c r="E2" s="156"/>
      <c r="F2" s="112"/>
      <c r="G2" s="34"/>
      <c r="H2" s="34"/>
      <c r="I2" s="11"/>
      <c r="J2" s="11"/>
      <c r="K2" s="11"/>
      <c r="L2" s="30"/>
    </row>
    <row r="3" spans="1:13" s="75" customFormat="1" ht="15" customHeight="1">
      <c r="A3" s="474" t="s">
        <v>462</v>
      </c>
      <c r="B3" s="475"/>
      <c r="C3" s="475"/>
      <c r="D3" s="475"/>
      <c r="E3" s="50" t="s">
        <v>669</v>
      </c>
      <c r="F3" s="21"/>
      <c r="G3" s="476" t="s">
        <v>463</v>
      </c>
      <c r="H3" s="476"/>
      <c r="I3" s="476"/>
      <c r="J3" s="476"/>
      <c r="K3" s="476"/>
      <c r="L3" s="115" t="s">
        <v>450</v>
      </c>
      <c r="M3" s="21"/>
    </row>
    <row r="4" spans="1:13" s="40" customFormat="1" ht="30.75" customHeight="1">
      <c r="A4" s="125" t="s">
        <v>958</v>
      </c>
      <c r="B4" s="125" t="s">
        <v>630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  <c r="M4" s="22"/>
    </row>
    <row r="5" spans="1:13" s="40" customFormat="1" ht="14.25">
      <c r="A5" s="179" t="s">
        <v>885</v>
      </c>
      <c r="B5" s="279">
        <v>37.35</v>
      </c>
      <c r="C5" s="279">
        <v>31.2</v>
      </c>
      <c r="D5" s="279">
        <v>30.2</v>
      </c>
      <c r="E5" s="279">
        <v>35.7</v>
      </c>
      <c r="F5" s="279">
        <v>35.2</v>
      </c>
      <c r="G5" s="279">
        <v>35.1</v>
      </c>
      <c r="H5" s="279">
        <v>36</v>
      </c>
      <c r="I5" s="279">
        <v>37.2</v>
      </c>
      <c r="J5" s="279">
        <v>44.2</v>
      </c>
      <c r="K5" s="279">
        <v>41.2</v>
      </c>
      <c r="L5" s="279">
        <f>L6/'表25'!L5*100</f>
        <v>43.45437491625352</v>
      </c>
      <c r="M5" s="22"/>
    </row>
    <row r="6" spans="1:13" s="40" customFormat="1" ht="14.25">
      <c r="A6" s="179" t="s">
        <v>886</v>
      </c>
      <c r="B6" s="279">
        <f>SUM(C6:L6)</f>
        <v>53233</v>
      </c>
      <c r="C6" s="279">
        <v>4317</v>
      </c>
      <c r="D6" s="279">
        <v>3476</v>
      </c>
      <c r="E6" s="279">
        <v>4473</v>
      </c>
      <c r="F6" s="279">
        <v>4448</v>
      </c>
      <c r="G6" s="279">
        <v>4431</v>
      </c>
      <c r="H6" s="279">
        <v>5465</v>
      </c>
      <c r="I6" s="279">
        <v>6400</v>
      </c>
      <c r="J6" s="279">
        <v>7256</v>
      </c>
      <c r="K6" s="279">
        <v>6481</v>
      </c>
      <c r="L6" s="283">
        <f>1161+359+253+2641+1790+142+140</f>
        <v>6486</v>
      </c>
      <c r="M6" s="22"/>
    </row>
    <row r="7" spans="1:12" s="40" customFormat="1" ht="52.5">
      <c r="A7" s="178" t="s">
        <v>843</v>
      </c>
      <c r="B7" s="280">
        <v>53.99</v>
      </c>
      <c r="C7" s="281">
        <v>60.3</v>
      </c>
      <c r="D7" s="281">
        <v>54.4</v>
      </c>
      <c r="E7" s="281">
        <v>50.2</v>
      </c>
      <c r="F7" s="281">
        <v>54.7</v>
      </c>
      <c r="G7" s="281">
        <v>51</v>
      </c>
      <c r="H7" s="281">
        <v>51.5</v>
      </c>
      <c r="I7" s="281">
        <v>51.9</v>
      </c>
      <c r="J7" s="281">
        <v>56.7</v>
      </c>
      <c r="K7" s="281">
        <v>52</v>
      </c>
      <c r="L7" s="281">
        <f>(1161+359+253)/'表25'!L6*100</f>
        <v>54.65474722564735</v>
      </c>
    </row>
    <row r="8" spans="1:12" s="40" customFormat="1" ht="14.25">
      <c r="A8" s="175" t="s">
        <v>876</v>
      </c>
      <c r="B8" s="282">
        <v>52.5</v>
      </c>
      <c r="C8" s="283">
        <v>56</v>
      </c>
      <c r="D8" s="283">
        <v>53.1</v>
      </c>
      <c r="E8" s="283">
        <v>48</v>
      </c>
      <c r="F8" s="283">
        <v>54.6</v>
      </c>
      <c r="G8" s="283">
        <v>48.5</v>
      </c>
      <c r="H8" s="283">
        <v>51.3</v>
      </c>
      <c r="I8" s="283">
        <v>51.7</v>
      </c>
      <c r="J8" s="283">
        <v>55.5</v>
      </c>
      <c r="K8" s="283">
        <v>49.3</v>
      </c>
      <c r="L8" s="283">
        <f>1161/'表25'!L7*100</f>
        <v>55.71017274472169</v>
      </c>
    </row>
    <row r="9" spans="1:12" s="40" customFormat="1" ht="14.25">
      <c r="A9" s="175" t="s">
        <v>877</v>
      </c>
      <c r="B9" s="282">
        <v>48.5</v>
      </c>
      <c r="C9" s="283">
        <v>61.8</v>
      </c>
      <c r="D9" s="283">
        <v>52.1</v>
      </c>
      <c r="E9" s="283">
        <v>47.6</v>
      </c>
      <c r="F9" s="283">
        <v>48.1</v>
      </c>
      <c r="G9" s="283">
        <v>40</v>
      </c>
      <c r="H9" s="283">
        <v>36.3</v>
      </c>
      <c r="I9" s="283">
        <v>39.7</v>
      </c>
      <c r="J9" s="283">
        <v>49.8</v>
      </c>
      <c r="K9" s="283">
        <v>48.1</v>
      </c>
      <c r="L9" s="283">
        <f>359/'表25'!L8*100</f>
        <v>48.51351351351351</v>
      </c>
    </row>
    <row r="10" spans="1:12" s="40" customFormat="1" ht="14.25">
      <c r="A10" s="175" t="s">
        <v>844</v>
      </c>
      <c r="B10" s="282">
        <v>67.2</v>
      </c>
      <c r="C10" s="283">
        <v>66.6</v>
      </c>
      <c r="D10" s="283">
        <v>61.1</v>
      </c>
      <c r="E10" s="283">
        <v>60.2</v>
      </c>
      <c r="F10" s="283">
        <v>66.3</v>
      </c>
      <c r="G10" s="283">
        <v>67.4</v>
      </c>
      <c r="H10" s="283">
        <v>67.4</v>
      </c>
      <c r="I10" s="283">
        <v>73.5</v>
      </c>
      <c r="J10" s="283">
        <v>74.1</v>
      </c>
      <c r="K10" s="283">
        <v>70.1</v>
      </c>
      <c r="L10" s="283">
        <f>253/'表25'!L9*100</f>
        <v>60.238095238095234</v>
      </c>
    </row>
    <row r="11" spans="1:12" s="40" customFormat="1" ht="39.75">
      <c r="A11" s="178" t="s">
        <v>845</v>
      </c>
      <c r="B11" s="280">
        <v>35.16</v>
      </c>
      <c r="C11" s="281">
        <v>29.2</v>
      </c>
      <c r="D11" s="281">
        <v>31.7</v>
      </c>
      <c r="E11" s="281">
        <v>45.8</v>
      </c>
      <c r="F11" s="281">
        <v>32.1</v>
      </c>
      <c r="G11" s="281">
        <v>31.7</v>
      </c>
      <c r="H11" s="281">
        <v>31.7</v>
      </c>
      <c r="I11" s="281">
        <v>30.3</v>
      </c>
      <c r="J11" s="281">
        <v>38.4</v>
      </c>
      <c r="K11" s="281">
        <v>38.5</v>
      </c>
      <c r="L11" s="281">
        <f>2641/'表25'!L10*100</f>
        <v>41.44045190648046</v>
      </c>
    </row>
    <row r="12" spans="1:12" s="40" customFormat="1" ht="52.5">
      <c r="A12" s="128" t="s">
        <v>29</v>
      </c>
      <c r="B12" s="282">
        <v>48.63</v>
      </c>
      <c r="C12" s="289">
        <v>48.3</v>
      </c>
      <c r="D12" s="283">
        <v>53</v>
      </c>
      <c r="E12" s="283">
        <v>28.6</v>
      </c>
      <c r="F12" s="283">
        <v>40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</row>
    <row r="13" spans="1:12" s="40" customFormat="1" ht="39.75">
      <c r="A13" s="153" t="s">
        <v>46</v>
      </c>
      <c r="B13" s="282">
        <v>78.63</v>
      </c>
      <c r="C13" s="283">
        <v>63</v>
      </c>
      <c r="D13" s="283">
        <v>81.2</v>
      </c>
      <c r="E13" s="283">
        <v>80</v>
      </c>
      <c r="F13" s="283">
        <v>60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</row>
    <row r="14" spans="1:12" s="40" customFormat="1" ht="39.75">
      <c r="A14" s="153" t="s">
        <v>12</v>
      </c>
      <c r="B14" s="282">
        <v>51.59</v>
      </c>
      <c r="C14" s="283">
        <v>0</v>
      </c>
      <c r="D14" s="283">
        <v>0</v>
      </c>
      <c r="E14" s="283">
        <v>53.3</v>
      </c>
      <c r="F14" s="283">
        <v>45.9</v>
      </c>
      <c r="G14" s="283">
        <v>44.9</v>
      </c>
      <c r="H14" s="283">
        <v>48.6</v>
      </c>
      <c r="I14" s="283">
        <v>52.6</v>
      </c>
      <c r="J14" s="283">
        <v>53.8</v>
      </c>
      <c r="K14" s="283">
        <v>53.8</v>
      </c>
      <c r="L14" s="283">
        <f>1171/'表25'!L13*100</f>
        <v>55.497630331753555</v>
      </c>
    </row>
    <row r="15" spans="1:12" s="40" customFormat="1" ht="27">
      <c r="A15" s="153" t="s">
        <v>325</v>
      </c>
      <c r="B15" s="282">
        <v>33.33</v>
      </c>
      <c r="C15" s="283">
        <v>0</v>
      </c>
      <c r="D15" s="283">
        <v>50</v>
      </c>
      <c r="E15" s="283">
        <v>0</v>
      </c>
      <c r="F15" s="283"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</row>
    <row r="16" spans="1:12" s="40" customFormat="1" ht="27">
      <c r="A16" s="153" t="s">
        <v>324</v>
      </c>
      <c r="B16" s="282">
        <v>44.1</v>
      </c>
      <c r="C16" s="283">
        <v>32.7</v>
      </c>
      <c r="D16" s="283">
        <v>30.9</v>
      </c>
      <c r="E16" s="283">
        <v>39.1</v>
      </c>
      <c r="F16" s="283">
        <v>37.1</v>
      </c>
      <c r="G16" s="283">
        <v>42.1</v>
      </c>
      <c r="H16" s="283">
        <v>47.8</v>
      </c>
      <c r="I16" s="283">
        <v>45.1</v>
      </c>
      <c r="J16" s="283">
        <v>52.7</v>
      </c>
      <c r="K16" s="283">
        <v>51.5</v>
      </c>
      <c r="L16" s="283">
        <f>391/'表25'!L15*100</f>
        <v>43.014301430143014</v>
      </c>
    </row>
    <row r="17" spans="1:12" s="40" customFormat="1" ht="14.25">
      <c r="A17" s="174" t="s">
        <v>90</v>
      </c>
      <c r="B17" s="282">
        <v>0</v>
      </c>
      <c r="C17" s="283">
        <v>0</v>
      </c>
      <c r="D17" s="283">
        <v>0</v>
      </c>
      <c r="E17" s="283">
        <v>0</v>
      </c>
      <c r="F17" s="283"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</row>
    <row r="18" spans="1:12" s="40" customFormat="1" ht="39.75">
      <c r="A18" s="153" t="s">
        <v>635</v>
      </c>
      <c r="B18" s="283">
        <v>0</v>
      </c>
      <c r="C18" s="283">
        <v>0</v>
      </c>
      <c r="D18" s="283">
        <v>0</v>
      </c>
      <c r="E18" s="283">
        <v>0</v>
      </c>
      <c r="F18" s="283"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</row>
    <row r="19" spans="1:12" s="40" customFormat="1" ht="52.5">
      <c r="A19" s="174" t="s">
        <v>326</v>
      </c>
      <c r="B19" s="282">
        <v>27.55</v>
      </c>
      <c r="C19" s="283">
        <v>0</v>
      </c>
      <c r="D19" s="283">
        <v>50</v>
      </c>
      <c r="E19" s="283">
        <v>100</v>
      </c>
      <c r="F19" s="283">
        <v>15</v>
      </c>
      <c r="G19" s="283">
        <v>0</v>
      </c>
      <c r="H19" s="283">
        <v>0</v>
      </c>
      <c r="I19" s="283">
        <v>0</v>
      </c>
      <c r="J19" s="283">
        <v>0</v>
      </c>
      <c r="K19" s="283">
        <v>25</v>
      </c>
      <c r="L19" s="283">
        <f>10/'表25'!L18*100</f>
        <v>31.25</v>
      </c>
    </row>
    <row r="20" spans="1:12" s="40" customFormat="1" ht="52.5">
      <c r="A20" s="174" t="s">
        <v>327</v>
      </c>
      <c r="B20" s="282">
        <v>32.6</v>
      </c>
      <c r="C20" s="283">
        <v>11.9</v>
      </c>
      <c r="D20" s="283">
        <v>14.8</v>
      </c>
      <c r="E20" s="283">
        <v>14.3</v>
      </c>
      <c r="F20" s="283">
        <v>31</v>
      </c>
      <c r="G20" s="283">
        <v>22.6</v>
      </c>
      <c r="H20" s="283">
        <v>23.7</v>
      </c>
      <c r="I20" s="283">
        <v>44.6</v>
      </c>
      <c r="J20" s="283">
        <v>51.4</v>
      </c>
      <c r="K20" s="283">
        <v>45.5</v>
      </c>
      <c r="L20" s="283">
        <f>41/'表25'!L19*100</f>
        <v>51.24999999999999</v>
      </c>
    </row>
    <row r="21" spans="1:12" s="40" customFormat="1" ht="14.25">
      <c r="A21" s="338" t="s">
        <v>328</v>
      </c>
      <c r="B21" s="341">
        <v>15.22</v>
      </c>
      <c r="C21" s="342">
        <v>6</v>
      </c>
      <c r="D21" s="342">
        <v>8.6</v>
      </c>
      <c r="E21" s="342">
        <v>13.1</v>
      </c>
      <c r="F21" s="342">
        <v>10.6</v>
      </c>
      <c r="G21" s="342">
        <v>11.3</v>
      </c>
      <c r="H21" s="342">
        <v>10.2</v>
      </c>
      <c r="I21" s="342">
        <v>13.9</v>
      </c>
      <c r="J21" s="342">
        <v>19.8</v>
      </c>
      <c r="K21" s="342">
        <v>24.4</v>
      </c>
      <c r="L21" s="342">
        <f>370/'表25'!L20*100</f>
        <v>26.90909090909091</v>
      </c>
    </row>
    <row r="23" spans="1:13" ht="15.75">
      <c r="A23" s="480" t="s">
        <v>898</v>
      </c>
      <c r="B23" s="481"/>
      <c r="C23" s="481"/>
      <c r="D23" s="481"/>
      <c r="E23" s="481"/>
      <c r="F23" s="482" t="s">
        <v>963</v>
      </c>
      <c r="G23" s="482"/>
      <c r="H23" s="482"/>
      <c r="I23" s="482"/>
      <c r="J23" s="482"/>
      <c r="K23" s="482"/>
      <c r="L23" s="482"/>
      <c r="M23" s="11"/>
    </row>
    <row r="24" spans="1:13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36" spans="1:12" ht="15.75">
      <c r="A36" s="458" t="str">
        <f>"- "&amp;Sheet1!B29&amp;" -"</f>
        <v>- 174 -</v>
      </c>
      <c r="B36" s="458"/>
      <c r="C36" s="458"/>
      <c r="D36" s="458"/>
      <c r="E36" s="458"/>
      <c r="F36" s="458" t="str">
        <f>"- "&amp;Sheet1!C29&amp;" -"</f>
        <v>- 175 -</v>
      </c>
      <c r="G36" s="458"/>
      <c r="H36" s="458"/>
      <c r="I36" s="458"/>
      <c r="J36" s="458"/>
      <c r="K36" s="458"/>
      <c r="L36" s="458"/>
    </row>
    <row r="44" ht="15.75">
      <c r="A44" s="328"/>
    </row>
    <row r="81" spans="1:5" ht="15.75">
      <c r="A81" s="82"/>
      <c r="B81" s="82"/>
      <c r="C81" s="82"/>
      <c r="D81" s="82"/>
      <c r="E81" s="82"/>
    </row>
  </sheetData>
  <sheetProtection/>
  <mergeCells count="8">
    <mergeCell ref="A36:E36"/>
    <mergeCell ref="F36:L36"/>
    <mergeCell ref="F1:L1"/>
    <mergeCell ref="G3:K3"/>
    <mergeCell ref="A1:E1"/>
    <mergeCell ref="A3:D3"/>
    <mergeCell ref="A23:E23"/>
    <mergeCell ref="F23:L23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Layout" zoomScaleSheetLayoutView="115" workbookViewId="0" topLeftCell="A46">
      <selection activeCell="A62" sqref="A62:L62"/>
    </sheetView>
  </sheetViews>
  <sheetFormatPr defaultColWidth="9.00390625" defaultRowHeight="16.5"/>
  <cols>
    <col min="1" max="1" width="2.125" style="38" customWidth="1"/>
    <col min="2" max="3" width="3.50390625" style="38" customWidth="1"/>
    <col min="4" max="4" width="4.50390625" style="38" customWidth="1"/>
    <col min="5" max="5" width="10.375" style="37" customWidth="1"/>
    <col min="6" max="6" width="8.00390625" style="38" customWidth="1"/>
    <col min="7" max="7" width="9.75390625" style="73" customWidth="1"/>
    <col min="8" max="8" width="9.25390625" style="73" customWidth="1"/>
    <col min="9" max="9" width="9.125" style="73" customWidth="1"/>
    <col min="10" max="10" width="11.00390625" style="72" customWidth="1"/>
    <col min="11" max="11" width="10.75390625" style="72" customWidth="1"/>
    <col min="12" max="12" width="10.875" style="71" customWidth="1"/>
    <col min="13" max="16384" width="9.00390625" style="37" customWidth="1"/>
  </cols>
  <sheetData>
    <row r="1" spans="1:12" ht="12.75" customHeight="1">
      <c r="A1" s="384" t="s">
        <v>1002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12" customHeight="1">
      <c r="A2" s="382" t="s">
        <v>236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2.25" customHeight="1">
      <c r="A3" s="121"/>
      <c r="B3" s="121"/>
      <c r="C3" s="109"/>
      <c r="D3" s="109"/>
      <c r="E3" s="109"/>
      <c r="F3" s="109"/>
      <c r="G3" s="148"/>
      <c r="H3" s="148"/>
      <c r="I3" s="148"/>
      <c r="J3" s="154"/>
      <c r="K3" s="154"/>
      <c r="L3" s="154"/>
    </row>
    <row r="4" spans="1:12" ht="11.25" customHeight="1">
      <c r="A4" s="380" t="s">
        <v>464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0.5" customHeight="1">
      <c r="A5" s="381">
        <v>2011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12" s="39" customFormat="1" ht="2.25" customHeight="1">
      <c r="A6" s="4"/>
      <c r="B6" s="149"/>
      <c r="C6" s="149"/>
      <c r="D6" s="149"/>
      <c r="E6" s="149"/>
      <c r="F6" s="149"/>
      <c r="G6" s="150"/>
      <c r="H6" s="150"/>
      <c r="I6" s="150"/>
      <c r="J6" s="155"/>
      <c r="K6" s="155"/>
      <c r="L6" s="155"/>
    </row>
    <row r="7" spans="1:12" s="40" customFormat="1" ht="16.5" customHeight="1">
      <c r="A7" s="375" t="s">
        <v>237</v>
      </c>
      <c r="B7" s="375"/>
      <c r="C7" s="375"/>
      <c r="D7" s="375"/>
      <c r="E7" s="375"/>
      <c r="F7" s="376"/>
      <c r="G7" s="363" t="s">
        <v>445</v>
      </c>
      <c r="H7" s="367" t="s">
        <v>444</v>
      </c>
      <c r="I7" s="365" t="s">
        <v>995</v>
      </c>
      <c r="J7" s="379" t="s">
        <v>443</v>
      </c>
      <c r="K7" s="379" t="s">
        <v>442</v>
      </c>
      <c r="L7" s="379" t="s">
        <v>441</v>
      </c>
    </row>
    <row r="8" spans="1:12" s="41" customFormat="1" ht="24.75" customHeight="1">
      <c r="A8" s="377"/>
      <c r="B8" s="377"/>
      <c r="C8" s="377"/>
      <c r="D8" s="377"/>
      <c r="E8" s="377"/>
      <c r="F8" s="378"/>
      <c r="G8" s="364"/>
      <c r="H8" s="368"/>
      <c r="I8" s="366"/>
      <c r="J8" s="362"/>
      <c r="K8" s="362"/>
      <c r="L8" s="362"/>
    </row>
    <row r="9" spans="1:12" s="40" customFormat="1" ht="14.25">
      <c r="A9" s="383" t="s">
        <v>996</v>
      </c>
      <c r="B9" s="369"/>
      <c r="C9" s="369"/>
      <c r="D9" s="369"/>
      <c r="E9" s="370"/>
      <c r="F9" s="151" t="s">
        <v>834</v>
      </c>
      <c r="G9" s="214">
        <v>272074</v>
      </c>
      <c r="H9" s="214">
        <v>10123761</v>
      </c>
      <c r="I9" s="214">
        <v>34923219</v>
      </c>
      <c r="J9" s="297">
        <v>100</v>
      </c>
      <c r="K9" s="297">
        <f>H9/G9</f>
        <v>37.20958636253372</v>
      </c>
      <c r="L9" s="297">
        <f aca="true" t="shared" si="0" ref="L9:L29">I9/G9</f>
        <v>128.35926622904063</v>
      </c>
    </row>
    <row r="10" spans="1:12" s="40" customFormat="1" ht="14.25">
      <c r="A10" s="371"/>
      <c r="B10" s="371"/>
      <c r="C10" s="371"/>
      <c r="D10" s="371"/>
      <c r="E10" s="372"/>
      <c r="F10" s="152" t="s">
        <v>835</v>
      </c>
      <c r="G10" s="215">
        <v>158164</v>
      </c>
      <c r="H10" s="215">
        <v>5915135</v>
      </c>
      <c r="I10" s="215">
        <v>21687647</v>
      </c>
      <c r="J10" s="298">
        <v>100</v>
      </c>
      <c r="K10" s="298">
        <f aca="true" t="shared" si="1" ref="K10:K46">H10/G10</f>
        <v>37.39874434131661</v>
      </c>
      <c r="L10" s="298">
        <f t="shared" si="0"/>
        <v>137.1212602109203</v>
      </c>
    </row>
    <row r="11" spans="1:12" s="40" customFormat="1" ht="14.25">
      <c r="A11" s="373"/>
      <c r="B11" s="373"/>
      <c r="C11" s="373"/>
      <c r="D11" s="373"/>
      <c r="E11" s="374"/>
      <c r="F11" s="152" t="s">
        <v>308</v>
      </c>
      <c r="G11" s="216">
        <v>113910</v>
      </c>
      <c r="H11" s="215">
        <v>4208626</v>
      </c>
      <c r="I11" s="216">
        <v>13235572</v>
      </c>
      <c r="J11" s="299">
        <v>100</v>
      </c>
      <c r="K11" s="299">
        <f t="shared" si="1"/>
        <v>36.94694056711439</v>
      </c>
      <c r="L11" s="299">
        <f t="shared" si="0"/>
        <v>116.19324027741199</v>
      </c>
    </row>
    <row r="12" spans="1:12" s="40" customFormat="1" ht="14.25" customHeight="1">
      <c r="A12" s="416" t="s">
        <v>837</v>
      </c>
      <c r="B12" s="418" t="s">
        <v>841</v>
      </c>
      <c r="C12" s="405"/>
      <c r="D12" s="405"/>
      <c r="E12" s="406"/>
      <c r="F12" s="151" t="s">
        <v>834</v>
      </c>
      <c r="G12" s="217">
        <v>269901</v>
      </c>
      <c r="H12" s="214">
        <v>7652312</v>
      </c>
      <c r="I12" s="217">
        <v>27316810</v>
      </c>
      <c r="J12" s="297">
        <f>ROUND(G12/G9*100,1)</f>
        <v>99.2</v>
      </c>
      <c r="K12" s="297">
        <f t="shared" si="1"/>
        <v>28.352292136746435</v>
      </c>
      <c r="L12" s="297">
        <f t="shared" si="0"/>
        <v>101.21048088002638</v>
      </c>
    </row>
    <row r="13" spans="1:12" s="40" customFormat="1" ht="14.25" customHeight="1">
      <c r="A13" s="394"/>
      <c r="B13" s="419"/>
      <c r="C13" s="407"/>
      <c r="D13" s="407"/>
      <c r="E13" s="408"/>
      <c r="F13" s="152" t="s">
        <v>835</v>
      </c>
      <c r="G13" s="215">
        <v>156824</v>
      </c>
      <c r="H13" s="218">
        <v>4492588</v>
      </c>
      <c r="I13" s="218">
        <v>17226094</v>
      </c>
      <c r="J13" s="298">
        <f>ROUND(G13/G10*100,1)</f>
        <v>99.2</v>
      </c>
      <c r="K13" s="298">
        <f t="shared" si="1"/>
        <v>28.647324389124115</v>
      </c>
      <c r="L13" s="298">
        <f t="shared" si="0"/>
        <v>109.84348058970566</v>
      </c>
    </row>
    <row r="14" spans="1:12" s="40" customFormat="1" ht="14.25" customHeight="1">
      <c r="A14" s="394"/>
      <c r="B14" s="420"/>
      <c r="C14" s="409"/>
      <c r="D14" s="409"/>
      <c r="E14" s="410"/>
      <c r="F14" s="152" t="s">
        <v>836</v>
      </c>
      <c r="G14" s="217">
        <v>113077</v>
      </c>
      <c r="H14" s="219">
        <v>3159724</v>
      </c>
      <c r="I14" s="219">
        <v>10090716</v>
      </c>
      <c r="J14" s="299">
        <f>ROUND(G14/G11*100,1)</f>
        <v>99.3</v>
      </c>
      <c r="K14" s="299">
        <f t="shared" si="1"/>
        <v>27.9431184060419</v>
      </c>
      <c r="L14" s="299">
        <f t="shared" si="0"/>
        <v>89.23756378397022</v>
      </c>
    </row>
    <row r="15" spans="1:12" s="40" customFormat="1" ht="14.25" customHeight="1">
      <c r="A15" s="394"/>
      <c r="B15" s="395" t="s">
        <v>997</v>
      </c>
      <c r="C15" s="396"/>
      <c r="D15" s="396"/>
      <c r="E15" s="397"/>
      <c r="F15" s="151" t="s">
        <v>834</v>
      </c>
      <c r="G15" s="214">
        <v>5243</v>
      </c>
      <c r="H15" s="214">
        <v>5587</v>
      </c>
      <c r="I15" s="214">
        <v>808354</v>
      </c>
      <c r="J15" s="297">
        <f>ROUND(G15/G9*100,1)</f>
        <v>1.9</v>
      </c>
      <c r="K15" s="297">
        <f t="shared" si="1"/>
        <v>1.06561129124547</v>
      </c>
      <c r="L15" s="297">
        <f t="shared" si="0"/>
        <v>154.17776082395574</v>
      </c>
    </row>
    <row r="16" spans="1:12" s="40" customFormat="1" ht="14.25" customHeight="1">
      <c r="A16" s="394"/>
      <c r="B16" s="385"/>
      <c r="C16" s="386"/>
      <c r="D16" s="386"/>
      <c r="E16" s="387"/>
      <c r="F16" s="152" t="s">
        <v>835</v>
      </c>
      <c r="G16" s="215">
        <v>2347</v>
      </c>
      <c r="H16" s="215">
        <v>2483</v>
      </c>
      <c r="I16" s="215">
        <v>413654</v>
      </c>
      <c r="J16" s="298">
        <f>ROUND(G16/G10*100,1)</f>
        <v>1.5</v>
      </c>
      <c r="K16" s="298">
        <f t="shared" si="1"/>
        <v>1.0579463144439711</v>
      </c>
      <c r="L16" s="298">
        <f t="shared" si="0"/>
        <v>176.24797613975286</v>
      </c>
    </row>
    <row r="17" spans="1:12" s="40" customFormat="1" ht="18.75" customHeight="1">
      <c r="A17" s="394"/>
      <c r="B17" s="388"/>
      <c r="C17" s="389"/>
      <c r="D17" s="389"/>
      <c r="E17" s="390"/>
      <c r="F17" s="152" t="s">
        <v>836</v>
      </c>
      <c r="G17" s="216">
        <v>2896</v>
      </c>
      <c r="H17" s="216">
        <v>3104</v>
      </c>
      <c r="I17" s="216">
        <v>394700</v>
      </c>
      <c r="J17" s="299">
        <f>ROUND(G17/G11*100,1)</f>
        <v>2.5</v>
      </c>
      <c r="K17" s="299">
        <f t="shared" si="1"/>
        <v>1.0718232044198894</v>
      </c>
      <c r="L17" s="299">
        <f t="shared" si="0"/>
        <v>136.2914364640884</v>
      </c>
    </row>
    <row r="18" spans="1:12" s="40" customFormat="1" ht="13.5" customHeight="1">
      <c r="A18" s="394"/>
      <c r="B18" s="418" t="s">
        <v>816</v>
      </c>
      <c r="C18" s="405"/>
      <c r="D18" s="405"/>
      <c r="E18" s="406"/>
      <c r="F18" s="151" t="s">
        <v>834</v>
      </c>
      <c r="G18" s="214">
        <v>75</v>
      </c>
      <c r="H18" s="214">
        <v>212</v>
      </c>
      <c r="I18" s="214">
        <v>3719</v>
      </c>
      <c r="J18" s="306">
        <f>ROUND(G18/G9*100,1)</f>
        <v>0</v>
      </c>
      <c r="K18" s="297">
        <f t="shared" si="1"/>
        <v>2.8266666666666667</v>
      </c>
      <c r="L18" s="297">
        <f t="shared" si="0"/>
        <v>49.586666666666666</v>
      </c>
    </row>
    <row r="19" spans="1:12" s="40" customFormat="1" ht="14.25" customHeight="1">
      <c r="A19" s="394"/>
      <c r="B19" s="419"/>
      <c r="C19" s="407"/>
      <c r="D19" s="407"/>
      <c r="E19" s="408"/>
      <c r="F19" s="152" t="s">
        <v>835</v>
      </c>
      <c r="G19" s="215">
        <v>66</v>
      </c>
      <c r="H19" s="215">
        <v>183</v>
      </c>
      <c r="I19" s="215">
        <v>3375</v>
      </c>
      <c r="J19" s="307">
        <f>ROUND(G19/G10*100,1)</f>
        <v>0</v>
      </c>
      <c r="K19" s="298">
        <f t="shared" si="1"/>
        <v>2.772727272727273</v>
      </c>
      <c r="L19" s="298">
        <f t="shared" si="0"/>
        <v>51.13636363636363</v>
      </c>
    </row>
    <row r="20" spans="1:12" s="40" customFormat="1" ht="14.25" customHeight="1">
      <c r="A20" s="394"/>
      <c r="B20" s="420"/>
      <c r="C20" s="409"/>
      <c r="D20" s="409"/>
      <c r="E20" s="410"/>
      <c r="F20" s="152" t="s">
        <v>836</v>
      </c>
      <c r="G20" s="216">
        <v>9</v>
      </c>
      <c r="H20" s="216">
        <v>29</v>
      </c>
      <c r="I20" s="216">
        <v>344</v>
      </c>
      <c r="J20" s="308">
        <f>ROUND(G20/G11*100,1)</f>
        <v>0</v>
      </c>
      <c r="K20" s="299">
        <f t="shared" si="1"/>
        <v>3.2222222222222223</v>
      </c>
      <c r="L20" s="299">
        <f t="shared" si="0"/>
        <v>38.22222222222222</v>
      </c>
    </row>
    <row r="21" spans="1:12" s="40" customFormat="1" ht="14.25" customHeight="1">
      <c r="A21" s="394"/>
      <c r="B21" s="418" t="s">
        <v>838</v>
      </c>
      <c r="C21" s="405"/>
      <c r="D21" s="405"/>
      <c r="E21" s="406"/>
      <c r="F21" s="151" t="s">
        <v>834</v>
      </c>
      <c r="G21" s="217">
        <v>3351</v>
      </c>
      <c r="H21" s="217">
        <v>3351</v>
      </c>
      <c r="I21" s="217">
        <v>454461</v>
      </c>
      <c r="J21" s="297">
        <f>ROUND(G21/G9*100,1)</f>
        <v>1.2</v>
      </c>
      <c r="K21" s="297">
        <f t="shared" si="1"/>
        <v>1</v>
      </c>
      <c r="L21" s="297">
        <f t="shared" si="0"/>
        <v>135.61951656222024</v>
      </c>
    </row>
    <row r="22" spans="1:12" s="40" customFormat="1" ht="14.25">
      <c r="A22" s="394"/>
      <c r="B22" s="419"/>
      <c r="C22" s="407"/>
      <c r="D22" s="407"/>
      <c r="E22" s="408"/>
      <c r="F22" s="152" t="s">
        <v>835</v>
      </c>
      <c r="G22" s="217">
        <v>1613</v>
      </c>
      <c r="H22" s="217">
        <v>1613</v>
      </c>
      <c r="I22" s="217">
        <v>214432</v>
      </c>
      <c r="J22" s="298">
        <f>ROUND(G22/G10*100,1)</f>
        <v>1</v>
      </c>
      <c r="K22" s="298">
        <f t="shared" si="1"/>
        <v>1</v>
      </c>
      <c r="L22" s="298">
        <f t="shared" si="0"/>
        <v>132.93986360818351</v>
      </c>
    </row>
    <row r="23" spans="1:12" s="40" customFormat="1" ht="14.25">
      <c r="A23" s="394"/>
      <c r="B23" s="420"/>
      <c r="C23" s="409"/>
      <c r="D23" s="409"/>
      <c r="E23" s="410"/>
      <c r="F23" s="152" t="s">
        <v>836</v>
      </c>
      <c r="G23" s="217">
        <v>1738</v>
      </c>
      <c r="H23" s="217">
        <v>1738</v>
      </c>
      <c r="I23" s="217">
        <v>240029</v>
      </c>
      <c r="J23" s="299">
        <f>ROUND(G23/G11*100,1)</f>
        <v>1.5</v>
      </c>
      <c r="K23" s="299">
        <f t="shared" si="1"/>
        <v>1</v>
      </c>
      <c r="L23" s="299">
        <f t="shared" si="0"/>
        <v>138.10644418872266</v>
      </c>
    </row>
    <row r="24" spans="1:12" s="40" customFormat="1" ht="16.5" customHeight="1">
      <c r="A24" s="422" t="s">
        <v>440</v>
      </c>
      <c r="B24" s="423" t="s">
        <v>456</v>
      </c>
      <c r="C24" s="424"/>
      <c r="D24" s="424"/>
      <c r="E24" s="425"/>
      <c r="F24" s="151" t="s">
        <v>834</v>
      </c>
      <c r="G24" s="214">
        <v>747</v>
      </c>
      <c r="H24" s="214">
        <v>747</v>
      </c>
      <c r="I24" s="214">
        <v>25152</v>
      </c>
      <c r="J24" s="297">
        <f>ROUND(G24/G9*100,1)</f>
        <v>0.3</v>
      </c>
      <c r="K24" s="297">
        <f t="shared" si="1"/>
        <v>1</v>
      </c>
      <c r="L24" s="297">
        <f t="shared" si="0"/>
        <v>33.670682730923694</v>
      </c>
    </row>
    <row r="25" spans="1:12" s="40" customFormat="1" ht="16.5" customHeight="1">
      <c r="A25" s="422"/>
      <c r="B25" s="426"/>
      <c r="C25" s="427"/>
      <c r="D25" s="427"/>
      <c r="E25" s="428"/>
      <c r="F25" s="152" t="s">
        <v>835</v>
      </c>
      <c r="G25" s="215">
        <v>397</v>
      </c>
      <c r="H25" s="215">
        <v>397</v>
      </c>
      <c r="I25" s="215">
        <v>13329</v>
      </c>
      <c r="J25" s="298">
        <f>ROUND(G25/G10*100,1)</f>
        <v>0.3</v>
      </c>
      <c r="K25" s="298">
        <f t="shared" si="1"/>
        <v>1</v>
      </c>
      <c r="L25" s="298">
        <f t="shared" si="0"/>
        <v>33.5743073047859</v>
      </c>
    </row>
    <row r="26" spans="1:12" s="40" customFormat="1" ht="16.5" customHeight="1">
      <c r="A26" s="422"/>
      <c r="B26" s="391"/>
      <c r="C26" s="392"/>
      <c r="D26" s="392"/>
      <c r="E26" s="393"/>
      <c r="F26" s="152" t="s">
        <v>836</v>
      </c>
      <c r="G26" s="216">
        <v>350</v>
      </c>
      <c r="H26" s="216">
        <v>350</v>
      </c>
      <c r="I26" s="216">
        <v>11823</v>
      </c>
      <c r="J26" s="299">
        <f>ROUND(G26/G11*100,1)</f>
        <v>0.3</v>
      </c>
      <c r="K26" s="299">
        <f t="shared" si="1"/>
        <v>1</v>
      </c>
      <c r="L26" s="299">
        <f t="shared" si="0"/>
        <v>33.78</v>
      </c>
    </row>
    <row r="27" spans="1:12" s="40" customFormat="1" ht="14.25">
      <c r="A27" s="422"/>
      <c r="B27" s="418" t="s">
        <v>839</v>
      </c>
      <c r="C27" s="405"/>
      <c r="D27" s="405"/>
      <c r="E27" s="406"/>
      <c r="F27" s="151" t="s">
        <v>834</v>
      </c>
      <c r="G27" s="217">
        <v>268434</v>
      </c>
      <c r="H27" s="217">
        <v>5949592</v>
      </c>
      <c r="I27" s="217">
        <v>21752402</v>
      </c>
      <c r="J27" s="297">
        <f>ROUND(G27/G9*100,1)</f>
        <v>98.7</v>
      </c>
      <c r="K27" s="297">
        <f t="shared" si="1"/>
        <v>22.16407757586595</v>
      </c>
      <c r="L27" s="297">
        <f t="shared" si="0"/>
        <v>81.03445167154682</v>
      </c>
    </row>
    <row r="28" spans="1:12" s="40" customFormat="1" ht="14.25">
      <c r="A28" s="422"/>
      <c r="B28" s="419"/>
      <c r="C28" s="407"/>
      <c r="D28" s="407"/>
      <c r="E28" s="408"/>
      <c r="F28" s="152" t="s">
        <v>835</v>
      </c>
      <c r="G28" s="217">
        <v>156019</v>
      </c>
      <c r="H28" s="217">
        <v>3477296</v>
      </c>
      <c r="I28" s="217">
        <v>14083209</v>
      </c>
      <c r="J28" s="298">
        <f>ROUND(G28/G10*100,1)</f>
        <v>98.6</v>
      </c>
      <c r="K28" s="298">
        <f t="shared" si="1"/>
        <v>22.287644453560144</v>
      </c>
      <c r="L28" s="298">
        <f t="shared" si="0"/>
        <v>90.26598683493677</v>
      </c>
    </row>
    <row r="29" spans="1:12" s="40" customFormat="1" ht="14.25">
      <c r="A29" s="422"/>
      <c r="B29" s="420"/>
      <c r="C29" s="409"/>
      <c r="D29" s="409"/>
      <c r="E29" s="410"/>
      <c r="F29" s="152" t="s">
        <v>836</v>
      </c>
      <c r="G29" s="217">
        <v>112415</v>
      </c>
      <c r="H29" s="217">
        <v>2472296</v>
      </c>
      <c r="I29" s="217">
        <v>7669193</v>
      </c>
      <c r="J29" s="299">
        <f>ROUND(G29/G11*100,1)</f>
        <v>98.7</v>
      </c>
      <c r="K29" s="299">
        <f t="shared" si="1"/>
        <v>21.992581061246273</v>
      </c>
      <c r="L29" s="299">
        <f t="shared" si="0"/>
        <v>68.22215006894098</v>
      </c>
    </row>
    <row r="30" spans="1:12" s="40" customFormat="1" ht="14.25">
      <c r="A30" s="422"/>
      <c r="B30" s="418" t="s">
        <v>840</v>
      </c>
      <c r="C30" s="405"/>
      <c r="D30" s="405"/>
      <c r="E30" s="406"/>
      <c r="F30" s="151" t="s">
        <v>834</v>
      </c>
      <c r="G30" s="214">
        <v>196627</v>
      </c>
      <c r="H30" s="214">
        <f>1692823-83</f>
        <v>1692740</v>
      </c>
      <c r="I30" s="214">
        <f>4272722-6178</f>
        <v>4266544</v>
      </c>
      <c r="J30" s="297">
        <f>ROUND(G30/G9*100,1)</f>
        <v>72.3</v>
      </c>
      <c r="K30" s="297">
        <f t="shared" si="1"/>
        <v>8.608888911492318</v>
      </c>
      <c r="L30" s="297">
        <f>I30/G30</f>
        <v>21.698668036434466</v>
      </c>
    </row>
    <row r="31" spans="1:12" s="40" customFormat="1" ht="14.25">
      <c r="A31" s="422"/>
      <c r="B31" s="419"/>
      <c r="C31" s="407"/>
      <c r="D31" s="407"/>
      <c r="E31" s="408"/>
      <c r="F31" s="152" t="s">
        <v>835</v>
      </c>
      <c r="G31" s="215">
        <v>107803</v>
      </c>
      <c r="H31" s="215">
        <f>1010616-53</f>
        <v>1010563</v>
      </c>
      <c r="I31" s="215">
        <f>2498095-3962</f>
        <v>2494133</v>
      </c>
      <c r="J31" s="298">
        <f>ROUND(G31/G10*100,1)</f>
        <v>68.2</v>
      </c>
      <c r="K31" s="298">
        <f t="shared" si="1"/>
        <v>9.374163984304705</v>
      </c>
      <c r="L31" s="298">
        <f>I31/G31</f>
        <v>23.136025899093717</v>
      </c>
    </row>
    <row r="32" spans="1:12" s="40" customFormat="1" ht="14.25">
      <c r="A32" s="422"/>
      <c r="B32" s="420"/>
      <c r="C32" s="409"/>
      <c r="D32" s="409"/>
      <c r="E32" s="410"/>
      <c r="F32" s="152" t="s">
        <v>836</v>
      </c>
      <c r="G32" s="216">
        <v>88824</v>
      </c>
      <c r="H32" s="216">
        <f>682207-30</f>
        <v>682177</v>
      </c>
      <c r="I32" s="216">
        <f>1774627-2216</f>
        <v>1772411</v>
      </c>
      <c r="J32" s="299">
        <f>ROUND(G32/G11*100,1)</f>
        <v>78</v>
      </c>
      <c r="K32" s="299">
        <f t="shared" si="1"/>
        <v>7.680097721336575</v>
      </c>
      <c r="L32" s="299">
        <f>I32/G32</f>
        <v>19.954190308925515</v>
      </c>
    </row>
    <row r="33" spans="1:12" s="40" customFormat="1" ht="14.25" customHeight="1">
      <c r="A33" s="422"/>
      <c r="B33" s="421" t="s">
        <v>458</v>
      </c>
      <c r="C33" s="405"/>
      <c r="D33" s="405"/>
      <c r="E33" s="406"/>
      <c r="F33" s="151" t="s">
        <v>459</v>
      </c>
      <c r="G33" s="177">
        <f>SUM(G34:G35)</f>
        <v>39</v>
      </c>
      <c r="H33" s="177">
        <f>SUM(H34:H35)</f>
        <v>39</v>
      </c>
      <c r="I33" s="177">
        <f>G33*150</f>
        <v>5850</v>
      </c>
      <c r="J33" s="303">
        <f>ROUND(G33/$G$9*100,1)</f>
        <v>0</v>
      </c>
      <c r="K33" s="297">
        <f t="shared" si="1"/>
        <v>1</v>
      </c>
      <c r="L33" s="297">
        <f aca="true" t="shared" si="2" ref="L33:L47">I33/G33</f>
        <v>150</v>
      </c>
    </row>
    <row r="34" spans="1:12" s="40" customFormat="1" ht="14.25">
      <c r="A34" s="422"/>
      <c r="B34" s="419"/>
      <c r="C34" s="407"/>
      <c r="D34" s="407"/>
      <c r="E34" s="408"/>
      <c r="F34" s="152" t="s">
        <v>460</v>
      </c>
      <c r="G34" s="177">
        <v>25</v>
      </c>
      <c r="H34" s="177">
        <v>25</v>
      </c>
      <c r="I34" s="177">
        <f>G34*150</f>
        <v>3750</v>
      </c>
      <c r="J34" s="304">
        <f>ROUND(G34/$G$10*100,1)</f>
        <v>0</v>
      </c>
      <c r="K34" s="298">
        <f t="shared" si="1"/>
        <v>1</v>
      </c>
      <c r="L34" s="298">
        <f t="shared" si="2"/>
        <v>150</v>
      </c>
    </row>
    <row r="35" spans="1:12" s="40" customFormat="1" ht="14.25">
      <c r="A35" s="422"/>
      <c r="B35" s="420"/>
      <c r="C35" s="409"/>
      <c r="D35" s="409"/>
      <c r="E35" s="410"/>
      <c r="F35" s="152" t="s">
        <v>461</v>
      </c>
      <c r="G35" s="177">
        <v>14</v>
      </c>
      <c r="H35" s="177">
        <v>14</v>
      </c>
      <c r="I35" s="177">
        <f>G35*150</f>
        <v>2100</v>
      </c>
      <c r="J35" s="305">
        <f>ROUND(G35/$G$11*100,1)</f>
        <v>0</v>
      </c>
      <c r="K35" s="299">
        <f t="shared" si="1"/>
        <v>1</v>
      </c>
      <c r="L35" s="299">
        <f t="shared" si="2"/>
        <v>150</v>
      </c>
    </row>
    <row r="36" spans="1:12" s="40" customFormat="1" ht="14.25">
      <c r="A36" s="416" t="s">
        <v>395</v>
      </c>
      <c r="B36" s="418" t="s">
        <v>841</v>
      </c>
      <c r="C36" s="405"/>
      <c r="D36" s="405"/>
      <c r="E36" s="406"/>
      <c r="F36" s="151" t="s">
        <v>834</v>
      </c>
      <c r="G36" s="214">
        <v>3751</v>
      </c>
      <c r="H36" s="214">
        <v>14620</v>
      </c>
      <c r="I36" s="214">
        <v>478205</v>
      </c>
      <c r="J36" s="297">
        <f>ROUND(G36/G9*100,1)</f>
        <v>1.4</v>
      </c>
      <c r="K36" s="297">
        <f t="shared" si="1"/>
        <v>3.8976272993868304</v>
      </c>
      <c r="L36" s="297">
        <f t="shared" si="2"/>
        <v>127.48733671021061</v>
      </c>
    </row>
    <row r="37" spans="1:12" s="40" customFormat="1" ht="14.25">
      <c r="A37" s="417"/>
      <c r="B37" s="419"/>
      <c r="C37" s="407"/>
      <c r="D37" s="407"/>
      <c r="E37" s="408"/>
      <c r="F37" s="152" t="s">
        <v>835</v>
      </c>
      <c r="G37" s="215">
        <v>1672</v>
      </c>
      <c r="H37" s="215">
        <v>6213</v>
      </c>
      <c r="I37" s="215">
        <v>225154</v>
      </c>
      <c r="J37" s="298">
        <f>ROUND(G37/G10*100,1)</f>
        <v>1.1</v>
      </c>
      <c r="K37" s="298">
        <f t="shared" si="1"/>
        <v>3.715909090909091</v>
      </c>
      <c r="L37" s="298">
        <f t="shared" si="2"/>
        <v>134.66148325358853</v>
      </c>
    </row>
    <row r="38" spans="1:12" s="40" customFormat="1" ht="14.25">
      <c r="A38" s="417"/>
      <c r="B38" s="420"/>
      <c r="C38" s="409"/>
      <c r="D38" s="409"/>
      <c r="E38" s="410"/>
      <c r="F38" s="152" t="s">
        <v>836</v>
      </c>
      <c r="G38" s="216">
        <v>2079</v>
      </c>
      <c r="H38" s="216">
        <v>8407</v>
      </c>
      <c r="I38" s="216">
        <v>253051</v>
      </c>
      <c r="J38" s="299">
        <f>ROUND(G38/G11*100,1)</f>
        <v>1.8</v>
      </c>
      <c r="K38" s="299">
        <f t="shared" si="1"/>
        <v>4.043771043771044</v>
      </c>
      <c r="L38" s="299">
        <f t="shared" si="2"/>
        <v>121.71765271765271</v>
      </c>
    </row>
    <row r="39" spans="1:12" s="42" customFormat="1" ht="14.25">
      <c r="A39" s="417"/>
      <c r="B39" s="418" t="s">
        <v>238</v>
      </c>
      <c r="C39" s="405"/>
      <c r="D39" s="405"/>
      <c r="E39" s="406"/>
      <c r="F39" s="151" t="s">
        <v>834</v>
      </c>
      <c r="G39" s="217">
        <v>3635</v>
      </c>
      <c r="H39" s="217">
        <v>14409</v>
      </c>
      <c r="I39" s="217">
        <v>452794</v>
      </c>
      <c r="J39" s="297">
        <f>ROUND(G39/G9*100,1)</f>
        <v>1.3</v>
      </c>
      <c r="K39" s="297">
        <f t="shared" si="1"/>
        <v>3.9639614855570837</v>
      </c>
      <c r="L39" s="297">
        <f t="shared" si="2"/>
        <v>124.56506189821182</v>
      </c>
    </row>
    <row r="40" spans="1:12" s="42" customFormat="1" ht="14.25">
      <c r="A40" s="401" t="s">
        <v>241</v>
      </c>
      <c r="B40" s="419"/>
      <c r="C40" s="407"/>
      <c r="D40" s="407"/>
      <c r="E40" s="408"/>
      <c r="F40" s="152" t="s">
        <v>835</v>
      </c>
      <c r="G40" s="217">
        <v>1610</v>
      </c>
      <c r="H40" s="217">
        <v>6081</v>
      </c>
      <c r="I40" s="217">
        <v>209849</v>
      </c>
      <c r="J40" s="298">
        <f>ROUND(G40/G10*100,1)</f>
        <v>1</v>
      </c>
      <c r="K40" s="298">
        <f t="shared" si="1"/>
        <v>3.7770186335403726</v>
      </c>
      <c r="L40" s="298">
        <f t="shared" si="2"/>
        <v>130.34099378881987</v>
      </c>
    </row>
    <row r="41" spans="1:12" s="42" customFormat="1" ht="14.25">
      <c r="A41" s="401"/>
      <c r="B41" s="420"/>
      <c r="C41" s="409"/>
      <c r="D41" s="409"/>
      <c r="E41" s="410"/>
      <c r="F41" s="152" t="s">
        <v>836</v>
      </c>
      <c r="G41" s="217">
        <v>2025</v>
      </c>
      <c r="H41" s="217">
        <v>8328</v>
      </c>
      <c r="I41" s="217">
        <v>242945</v>
      </c>
      <c r="J41" s="299">
        <f>ROUND(G41/G11*100,1)</f>
        <v>1.8</v>
      </c>
      <c r="K41" s="299">
        <f t="shared" si="1"/>
        <v>4.112592592592593</v>
      </c>
      <c r="L41" s="299">
        <f t="shared" si="2"/>
        <v>119.97283950617285</v>
      </c>
    </row>
    <row r="42" spans="1:12" s="40" customFormat="1" ht="14.25" customHeight="1">
      <c r="A42" s="401"/>
      <c r="B42" s="418" t="s">
        <v>239</v>
      </c>
      <c r="C42" s="405"/>
      <c r="D42" s="405"/>
      <c r="E42" s="406"/>
      <c r="F42" s="151" t="s">
        <v>834</v>
      </c>
      <c r="G42" s="214">
        <v>124</v>
      </c>
      <c r="H42" s="214">
        <v>211</v>
      </c>
      <c r="I42" s="214">
        <v>25411</v>
      </c>
      <c r="J42" s="306">
        <f>ROUND(G42/G9*100,1)</f>
        <v>0</v>
      </c>
      <c r="K42" s="297">
        <f t="shared" si="1"/>
        <v>1.7016129032258065</v>
      </c>
      <c r="L42" s="297">
        <f t="shared" si="2"/>
        <v>204.92741935483872</v>
      </c>
    </row>
    <row r="43" spans="1:12" s="40" customFormat="1" ht="14.25">
      <c r="A43" s="401"/>
      <c r="B43" s="419"/>
      <c r="C43" s="407"/>
      <c r="D43" s="407"/>
      <c r="E43" s="408"/>
      <c r="F43" s="152" t="s">
        <v>835</v>
      </c>
      <c r="G43" s="215">
        <v>63</v>
      </c>
      <c r="H43" s="215">
        <v>132</v>
      </c>
      <c r="I43" s="215">
        <v>15305</v>
      </c>
      <c r="J43" s="307">
        <f>ROUND(G43/G10*100,1)</f>
        <v>0</v>
      </c>
      <c r="K43" s="298">
        <f t="shared" si="1"/>
        <v>2.0952380952380953</v>
      </c>
      <c r="L43" s="298">
        <f t="shared" si="2"/>
        <v>242.93650793650792</v>
      </c>
    </row>
    <row r="44" spans="1:12" s="40" customFormat="1" ht="14.25">
      <c r="A44" s="402"/>
      <c r="B44" s="420"/>
      <c r="C44" s="409"/>
      <c r="D44" s="409"/>
      <c r="E44" s="410"/>
      <c r="F44" s="152" t="s">
        <v>836</v>
      </c>
      <c r="G44" s="216">
        <v>61</v>
      </c>
      <c r="H44" s="216">
        <v>79</v>
      </c>
      <c r="I44" s="216">
        <v>10106</v>
      </c>
      <c r="J44" s="308">
        <f>ROUND(G44/G11*100,1)</f>
        <v>0.1</v>
      </c>
      <c r="K44" s="299">
        <f t="shared" si="1"/>
        <v>1.2950819672131149</v>
      </c>
      <c r="L44" s="299">
        <f t="shared" si="2"/>
        <v>165.672131147541</v>
      </c>
    </row>
    <row r="45" spans="1:12" s="75" customFormat="1" ht="14.25">
      <c r="A45" s="405" t="s">
        <v>394</v>
      </c>
      <c r="B45" s="405"/>
      <c r="C45" s="405"/>
      <c r="D45" s="405"/>
      <c r="E45" s="406"/>
      <c r="F45" s="151" t="s">
        <v>834</v>
      </c>
      <c r="G45" s="214">
        <v>220158</v>
      </c>
      <c r="H45" s="214">
        <v>2456829</v>
      </c>
      <c r="I45" s="214">
        <v>7128204</v>
      </c>
      <c r="J45" s="306">
        <f>ROUND(G45/G9*100,1)</f>
        <v>80.9</v>
      </c>
      <c r="K45" s="297">
        <f t="shared" si="1"/>
        <v>11.159390074401111</v>
      </c>
      <c r="L45" s="297">
        <f t="shared" si="2"/>
        <v>32.37767421579048</v>
      </c>
    </row>
    <row r="46" spans="1:12" s="75" customFormat="1" ht="14.25">
      <c r="A46" s="407"/>
      <c r="B46" s="407"/>
      <c r="C46" s="407"/>
      <c r="D46" s="407"/>
      <c r="E46" s="408"/>
      <c r="F46" s="152" t="s">
        <v>835</v>
      </c>
      <c r="G46" s="215">
        <v>122049</v>
      </c>
      <c r="H46" s="215">
        <v>1416334</v>
      </c>
      <c r="I46" s="215">
        <v>4236399</v>
      </c>
      <c r="J46" s="307">
        <f>ROUND(G46/G10*100,1)</f>
        <v>77.2</v>
      </c>
      <c r="K46" s="298">
        <f t="shared" si="1"/>
        <v>11.604634204294996</v>
      </c>
      <c r="L46" s="298">
        <f t="shared" si="2"/>
        <v>34.71064080819998</v>
      </c>
    </row>
    <row r="47" spans="1:12" s="75" customFormat="1" ht="14.25">
      <c r="A47" s="409"/>
      <c r="B47" s="409"/>
      <c r="C47" s="409"/>
      <c r="D47" s="409"/>
      <c r="E47" s="410"/>
      <c r="F47" s="152" t="s">
        <v>836</v>
      </c>
      <c r="G47" s="216">
        <v>98109</v>
      </c>
      <c r="H47" s="216">
        <v>1040495</v>
      </c>
      <c r="I47" s="216">
        <v>2891805</v>
      </c>
      <c r="J47" s="308">
        <f>ROUND(G47/G11*100,1)</f>
        <v>86.1</v>
      </c>
      <c r="K47" s="299">
        <f>H47/G47</f>
        <v>10.605500005096372</v>
      </c>
      <c r="L47" s="299">
        <f t="shared" si="2"/>
        <v>29.47543038864936</v>
      </c>
    </row>
    <row r="48" spans="1:12" s="75" customFormat="1" ht="11.25" customHeight="1">
      <c r="A48" s="400" t="s">
        <v>31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</row>
    <row r="49" spans="1:12" s="75" customFormat="1" ht="11.25" customHeight="1">
      <c r="A49" s="415" t="s">
        <v>32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</row>
    <row r="50" spans="1:12" s="75" customFormat="1" ht="11.25" customHeight="1">
      <c r="A50" s="415" t="s">
        <v>242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</row>
    <row r="51" spans="1:12" s="75" customFormat="1" ht="11.25" customHeight="1">
      <c r="A51" s="399" t="s">
        <v>282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</row>
    <row r="52" spans="1:12" s="75" customFormat="1" ht="11.25" customHeight="1">
      <c r="A52" s="399" t="s">
        <v>283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</row>
    <row r="53" spans="1:12" s="75" customFormat="1" ht="11.25" customHeight="1">
      <c r="A53" s="411" t="s">
        <v>53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</row>
    <row r="54" spans="1:12" s="75" customFormat="1" ht="11.25">
      <c r="A54" s="398" t="s">
        <v>281</v>
      </c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</row>
    <row r="55" spans="1:12" s="75" customFormat="1" ht="12" customHeight="1">
      <c r="A55" s="398" t="s">
        <v>316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</row>
    <row r="56" spans="1:12" s="75" customFormat="1" ht="11.25">
      <c r="A56" s="398" t="s">
        <v>284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</row>
    <row r="57" spans="1:12" s="75" customFormat="1" ht="11.25">
      <c r="A57" s="398" t="s">
        <v>285</v>
      </c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</row>
    <row r="58" spans="1:12" s="75" customFormat="1" ht="11.25">
      <c r="A58" s="398" t="s">
        <v>309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</row>
    <row r="59" spans="1:12" s="75" customFormat="1" ht="11.25">
      <c r="A59" s="404" t="s">
        <v>310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</row>
    <row r="60" spans="1:12" ht="10.5" customHeight="1">
      <c r="A60" s="413" t="s">
        <v>33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</row>
    <row r="61" spans="1:12" ht="16.5">
      <c r="A61" s="37"/>
      <c r="B61" s="37"/>
      <c r="C61" s="37"/>
      <c r="D61" s="37"/>
      <c r="F61" s="37"/>
      <c r="G61" s="37"/>
      <c r="H61" s="37"/>
      <c r="I61" s="37"/>
      <c r="J61" s="37"/>
      <c r="K61" s="37"/>
      <c r="L61" s="37"/>
    </row>
    <row r="62" spans="1:12" ht="16.5">
      <c r="A62" s="403" t="str">
        <f>"- "&amp;Sheet1!B21&amp;" -"</f>
        <v>- 144 -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3"/>
    </row>
  </sheetData>
  <sheetProtection/>
  <mergeCells count="42">
    <mergeCell ref="B12:E14"/>
    <mergeCell ref="L7:L8"/>
    <mergeCell ref="K7:K8"/>
    <mergeCell ref="J7:J8"/>
    <mergeCell ref="G7:G8"/>
    <mergeCell ref="I7:I8"/>
    <mergeCell ref="H7:H8"/>
    <mergeCell ref="A12:A23"/>
    <mergeCell ref="B18:E20"/>
    <mergeCell ref="B15:E17"/>
    <mergeCell ref="A1:L1"/>
    <mergeCell ref="A4:L4"/>
    <mergeCell ref="A5:L5"/>
    <mergeCell ref="A2:L2"/>
    <mergeCell ref="A9:E11"/>
    <mergeCell ref="A7:F8"/>
    <mergeCell ref="B21:E23"/>
    <mergeCell ref="A36:A39"/>
    <mergeCell ref="B42:E44"/>
    <mergeCell ref="B27:E29"/>
    <mergeCell ref="B36:E38"/>
    <mergeCell ref="B39:E41"/>
    <mergeCell ref="B33:E35"/>
    <mergeCell ref="A24:A35"/>
    <mergeCell ref="B30:E32"/>
    <mergeCell ref="B24:E26"/>
    <mergeCell ref="A62:L62"/>
    <mergeCell ref="A59:L59"/>
    <mergeCell ref="A58:L58"/>
    <mergeCell ref="A56:L56"/>
    <mergeCell ref="A57:L57"/>
    <mergeCell ref="A60:L60"/>
    <mergeCell ref="A55:L55"/>
    <mergeCell ref="A51:L51"/>
    <mergeCell ref="A48:L48"/>
    <mergeCell ref="A40:A44"/>
    <mergeCell ref="A45:E47"/>
    <mergeCell ref="A53:L53"/>
    <mergeCell ref="A49:L49"/>
    <mergeCell ref="A50:L50"/>
    <mergeCell ref="A54:L54"/>
    <mergeCell ref="A52:L52"/>
  </mergeCells>
  <printOptions/>
  <pageMargins left="0.3937007874015748" right="0.3937007874015748" top="0.3937007874015748" bottom="0.010416666666666666" header="0.5118110236220472" footer="0.708661417322834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4"/>
  <sheetViews>
    <sheetView view="pageLayout" zoomScale="85" zoomScaleNormal="85" zoomScaleSheetLayoutView="85" zoomScalePageLayoutView="85" workbookViewId="0" topLeftCell="A16">
      <selection activeCell="A34" sqref="A34:E34"/>
    </sheetView>
  </sheetViews>
  <sheetFormatPr defaultColWidth="9.00390625" defaultRowHeight="16.5"/>
  <cols>
    <col min="1" max="1" width="46.00390625" style="79" customWidth="1"/>
    <col min="2" max="5" width="11.125" style="79" customWidth="1"/>
    <col min="6" max="12" width="12.375" style="79" customWidth="1"/>
    <col min="13" max="16384" width="9.00390625" style="79" customWidth="1"/>
  </cols>
  <sheetData>
    <row r="1" spans="1:12" s="80" customFormat="1" ht="19.5" customHeight="1">
      <c r="A1" s="459" t="s">
        <v>942</v>
      </c>
      <c r="B1" s="459"/>
      <c r="C1" s="459"/>
      <c r="D1" s="459"/>
      <c r="E1" s="459"/>
      <c r="F1" s="403" t="s">
        <v>203</v>
      </c>
      <c r="G1" s="403"/>
      <c r="H1" s="403"/>
      <c r="I1" s="403"/>
      <c r="J1" s="403"/>
      <c r="K1" s="403"/>
      <c r="L1" s="403"/>
    </row>
    <row r="2" spans="1:12" ht="3" customHeight="1">
      <c r="A2" s="11"/>
      <c r="B2" s="34"/>
      <c r="C2" s="34"/>
      <c r="D2" s="34"/>
      <c r="E2" s="156"/>
      <c r="F2" s="112"/>
      <c r="G2" s="34"/>
      <c r="H2" s="34"/>
      <c r="I2" s="11"/>
      <c r="J2" s="11"/>
      <c r="K2" s="11"/>
      <c r="L2" s="30"/>
    </row>
    <row r="3" spans="1:12" s="75" customFormat="1" ht="15" customHeight="1">
      <c r="A3" s="474" t="s">
        <v>462</v>
      </c>
      <c r="B3" s="475"/>
      <c r="C3" s="475"/>
      <c r="D3" s="475"/>
      <c r="E3" s="50" t="s">
        <v>669</v>
      </c>
      <c r="F3" s="21"/>
      <c r="G3" s="476" t="s">
        <v>463</v>
      </c>
      <c r="H3" s="476"/>
      <c r="I3" s="476"/>
      <c r="J3" s="476"/>
      <c r="K3" s="476"/>
      <c r="L3" s="115" t="s">
        <v>450</v>
      </c>
    </row>
    <row r="4" spans="1:12" s="40" customFormat="1" ht="30.75" customHeight="1">
      <c r="A4" s="125" t="s">
        <v>958</v>
      </c>
      <c r="B4" s="125" t="s">
        <v>959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474</v>
      </c>
    </row>
    <row r="5" spans="1:12" s="40" customFormat="1" ht="52.5">
      <c r="A5" s="174" t="s">
        <v>190</v>
      </c>
      <c r="B5" s="290">
        <v>51.48</v>
      </c>
      <c r="C5" s="289">
        <v>47.4</v>
      </c>
      <c r="D5" s="289">
        <v>37</v>
      </c>
      <c r="E5" s="289">
        <v>56.5</v>
      </c>
      <c r="F5" s="289">
        <v>48.1</v>
      </c>
      <c r="G5" s="289">
        <v>33.3</v>
      </c>
      <c r="H5" s="289">
        <v>64.7</v>
      </c>
      <c r="I5" s="289">
        <v>53.1</v>
      </c>
      <c r="J5" s="289">
        <v>59.5</v>
      </c>
      <c r="K5" s="289">
        <v>0</v>
      </c>
      <c r="L5" s="289">
        <f>21/'表25(續1)'!L5*100</f>
        <v>60</v>
      </c>
    </row>
    <row r="6" spans="1:12" s="40" customFormat="1" ht="52.5">
      <c r="A6" s="174" t="s">
        <v>364</v>
      </c>
      <c r="B6" s="290">
        <v>1.48</v>
      </c>
      <c r="C6" s="289">
        <v>0</v>
      </c>
      <c r="D6" s="289">
        <v>0</v>
      </c>
      <c r="E6" s="289">
        <v>0</v>
      </c>
      <c r="F6" s="289">
        <v>0</v>
      </c>
      <c r="G6" s="289">
        <v>0</v>
      </c>
      <c r="H6" s="289">
        <v>0</v>
      </c>
      <c r="I6" s="289">
        <v>2.2</v>
      </c>
      <c r="J6" s="289">
        <v>1.7</v>
      </c>
      <c r="K6" s="289">
        <v>0</v>
      </c>
      <c r="L6" s="289">
        <v>0</v>
      </c>
    </row>
    <row r="7" spans="1:12" s="40" customFormat="1" ht="14.25">
      <c r="A7" s="153" t="s">
        <v>329</v>
      </c>
      <c r="B7" s="290">
        <v>46.91</v>
      </c>
      <c r="C7" s="289">
        <v>33.3</v>
      </c>
      <c r="D7" s="289">
        <v>47.4</v>
      </c>
      <c r="E7" s="289">
        <v>42.3</v>
      </c>
      <c r="F7" s="289">
        <v>0</v>
      </c>
      <c r="G7" s="289">
        <v>54.5</v>
      </c>
      <c r="H7" s="289">
        <v>38.5</v>
      </c>
      <c r="I7" s="289">
        <v>58.6</v>
      </c>
      <c r="J7" s="289">
        <v>47.7</v>
      </c>
      <c r="K7" s="289">
        <v>26.7</v>
      </c>
      <c r="L7" s="289">
        <f>6/'表25(續1)'!L7*100</f>
        <v>54.54545454545454</v>
      </c>
    </row>
    <row r="8" spans="1:12" s="40" customFormat="1" ht="27">
      <c r="A8" s="153" t="s">
        <v>330</v>
      </c>
      <c r="B8" s="290">
        <v>0</v>
      </c>
      <c r="C8" s="289">
        <v>0</v>
      </c>
      <c r="D8" s="289">
        <v>0</v>
      </c>
      <c r="E8" s="289">
        <v>0</v>
      </c>
      <c r="F8" s="289">
        <v>0</v>
      </c>
      <c r="G8" s="289">
        <v>0</v>
      </c>
      <c r="H8" s="289">
        <v>0</v>
      </c>
      <c r="I8" s="289">
        <v>0</v>
      </c>
      <c r="J8" s="289">
        <v>0</v>
      </c>
      <c r="K8" s="289">
        <v>0</v>
      </c>
      <c r="L8" s="289">
        <v>0</v>
      </c>
    </row>
    <row r="9" spans="1:12" s="40" customFormat="1" ht="14.25">
      <c r="A9" s="171" t="s">
        <v>331</v>
      </c>
      <c r="B9" s="290">
        <v>76.59</v>
      </c>
      <c r="C9" s="289">
        <v>0</v>
      </c>
      <c r="D9" s="289">
        <v>75.3</v>
      </c>
      <c r="E9" s="289">
        <v>100</v>
      </c>
      <c r="F9" s="289">
        <v>66.7</v>
      </c>
      <c r="G9" s="289">
        <v>66.7</v>
      </c>
      <c r="H9" s="289">
        <v>82.2</v>
      </c>
      <c r="I9" s="289">
        <v>77.9</v>
      </c>
      <c r="J9" s="289">
        <v>78.8</v>
      </c>
      <c r="K9" s="289">
        <v>73.9</v>
      </c>
      <c r="L9" s="289">
        <f>102/'表25(續1)'!L9*100</f>
        <v>85</v>
      </c>
    </row>
    <row r="10" spans="1:12" s="40" customFormat="1" ht="14.25">
      <c r="A10" s="153" t="s">
        <v>345</v>
      </c>
      <c r="B10" s="290">
        <v>31.73</v>
      </c>
      <c r="C10" s="289">
        <v>37.6</v>
      </c>
      <c r="D10" s="289">
        <v>20.7</v>
      </c>
      <c r="E10" s="289">
        <v>0</v>
      </c>
      <c r="F10" s="289">
        <v>15.2</v>
      </c>
      <c r="G10" s="289">
        <v>23.1</v>
      </c>
      <c r="H10" s="289">
        <v>26</v>
      </c>
      <c r="I10" s="289">
        <v>33.8</v>
      </c>
      <c r="J10" s="289">
        <v>34.3</v>
      </c>
      <c r="K10" s="289">
        <v>30.9</v>
      </c>
      <c r="L10" s="289">
        <f>84/'表25(續1)'!L10*100</f>
        <v>43.523316062176164</v>
      </c>
    </row>
    <row r="11" spans="1:12" s="40" customFormat="1" ht="52.5">
      <c r="A11" s="153" t="s">
        <v>332</v>
      </c>
      <c r="B11" s="290">
        <v>15.34</v>
      </c>
      <c r="C11" s="289">
        <v>0</v>
      </c>
      <c r="D11" s="289">
        <v>66.7</v>
      </c>
      <c r="E11" s="289">
        <v>7.2</v>
      </c>
      <c r="F11" s="289">
        <v>0</v>
      </c>
      <c r="G11" s="289">
        <v>0</v>
      </c>
      <c r="H11" s="289">
        <v>22.7</v>
      </c>
      <c r="I11" s="289">
        <v>17.4</v>
      </c>
      <c r="J11" s="289">
        <v>16.7</v>
      </c>
      <c r="K11" s="289">
        <v>14.3</v>
      </c>
      <c r="L11" s="289">
        <f>6/'表25(續1)'!L11*100</f>
        <v>11.11111111111111</v>
      </c>
    </row>
    <row r="12" spans="1:12" s="40" customFormat="1" ht="27">
      <c r="A12" s="153" t="s">
        <v>333</v>
      </c>
      <c r="B12" s="290">
        <v>49.25</v>
      </c>
      <c r="C12" s="289">
        <v>27.8</v>
      </c>
      <c r="D12" s="289">
        <v>0</v>
      </c>
      <c r="E12" s="289">
        <v>0</v>
      </c>
      <c r="F12" s="289">
        <v>80</v>
      </c>
      <c r="G12" s="289">
        <v>50</v>
      </c>
      <c r="H12" s="289">
        <v>30</v>
      </c>
      <c r="I12" s="289"/>
      <c r="J12" s="289">
        <v>61</v>
      </c>
      <c r="K12" s="289"/>
      <c r="L12" s="289">
        <f>5/'表25(續1)'!L12*100</f>
        <v>55.55555555555556</v>
      </c>
    </row>
    <row r="13" spans="1:12" s="40" customFormat="1" ht="14.25">
      <c r="A13" s="153" t="s">
        <v>855</v>
      </c>
      <c r="B13" s="290">
        <v>52.67</v>
      </c>
      <c r="C13" s="289">
        <v>46.2</v>
      </c>
      <c r="D13" s="289">
        <v>58.5</v>
      </c>
      <c r="E13" s="289">
        <v>44.1</v>
      </c>
      <c r="F13" s="289">
        <v>52.9</v>
      </c>
      <c r="G13" s="289">
        <v>56.3</v>
      </c>
      <c r="H13" s="289">
        <v>56.2</v>
      </c>
      <c r="I13" s="289">
        <v>45.3</v>
      </c>
      <c r="J13" s="289">
        <v>55.4</v>
      </c>
      <c r="K13" s="289">
        <v>46.8</v>
      </c>
      <c r="L13" s="289">
        <f>80/'表25(續1)'!L13*100</f>
        <v>61.53846153846154</v>
      </c>
    </row>
    <row r="14" spans="1:12" s="40" customFormat="1" ht="14.25">
      <c r="A14" s="153" t="s">
        <v>856</v>
      </c>
      <c r="B14" s="290">
        <v>40.7</v>
      </c>
      <c r="C14" s="289">
        <v>45.7</v>
      </c>
      <c r="D14" s="289">
        <v>41.1</v>
      </c>
      <c r="E14" s="289">
        <v>50</v>
      </c>
      <c r="F14" s="289">
        <v>37.2</v>
      </c>
      <c r="G14" s="289">
        <v>40.5</v>
      </c>
      <c r="H14" s="289">
        <v>40.2</v>
      </c>
      <c r="I14" s="289">
        <v>40.7</v>
      </c>
      <c r="J14" s="289">
        <v>42.2</v>
      </c>
      <c r="K14" s="289">
        <v>39.8</v>
      </c>
      <c r="L14" s="289">
        <f>114/'表25(續1)'!L14*100</f>
        <v>38</v>
      </c>
    </row>
    <row r="15" spans="1:12" s="40" customFormat="1" ht="39.75">
      <c r="A15" s="153" t="s">
        <v>334</v>
      </c>
      <c r="B15" s="290">
        <v>13.63</v>
      </c>
      <c r="C15" s="289">
        <v>13.6</v>
      </c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</row>
    <row r="16" spans="1:12" s="40" customFormat="1" ht="39.75">
      <c r="A16" s="153" t="s">
        <v>344</v>
      </c>
      <c r="B16" s="290">
        <v>52.97</v>
      </c>
      <c r="C16" s="289">
        <v>0</v>
      </c>
      <c r="D16" s="289">
        <v>0</v>
      </c>
      <c r="E16" s="289">
        <v>0</v>
      </c>
      <c r="F16" s="289">
        <v>0</v>
      </c>
      <c r="G16" s="289">
        <v>0</v>
      </c>
      <c r="H16" s="289">
        <v>0</v>
      </c>
      <c r="I16" s="289">
        <v>33</v>
      </c>
      <c r="J16" s="289">
        <v>63.1</v>
      </c>
      <c r="K16" s="289">
        <v>0</v>
      </c>
      <c r="L16" s="289">
        <v>0</v>
      </c>
    </row>
    <row r="17" spans="1:12" s="40" customFormat="1" ht="39.75">
      <c r="A17" s="153" t="s">
        <v>335</v>
      </c>
      <c r="B17" s="290">
        <v>19.17</v>
      </c>
      <c r="C17" s="289">
        <v>0</v>
      </c>
      <c r="D17" s="289">
        <v>0</v>
      </c>
      <c r="E17" s="289">
        <v>0</v>
      </c>
      <c r="F17" s="289">
        <v>0</v>
      </c>
      <c r="G17" s="289">
        <v>0</v>
      </c>
      <c r="H17" s="289">
        <v>0</v>
      </c>
      <c r="I17" s="289">
        <v>18.4</v>
      </c>
      <c r="J17" s="289">
        <v>30.8</v>
      </c>
      <c r="K17" s="289">
        <v>11.2</v>
      </c>
      <c r="L17" s="289">
        <f>240/'表25(續1)'!L17*100</f>
        <v>24.120603015075375</v>
      </c>
    </row>
    <row r="18" spans="1:12" s="40" customFormat="1" ht="14.25">
      <c r="A18" s="175" t="s">
        <v>857</v>
      </c>
      <c r="B18" s="290">
        <v>20.49</v>
      </c>
      <c r="C18" s="289">
        <v>0</v>
      </c>
      <c r="D18" s="289">
        <v>35.7</v>
      </c>
      <c r="E18" s="289">
        <v>0</v>
      </c>
      <c r="F18" s="289">
        <v>9.2</v>
      </c>
      <c r="G18" s="289">
        <v>0</v>
      </c>
      <c r="H18" s="289">
        <v>14.7</v>
      </c>
      <c r="I18" s="289">
        <v>14</v>
      </c>
      <c r="J18" s="289">
        <v>11.1</v>
      </c>
      <c r="K18" s="289">
        <v>14.6</v>
      </c>
      <c r="L18" s="289">
        <v>0</v>
      </c>
    </row>
    <row r="19" spans="1:12" s="40" customFormat="1" ht="27">
      <c r="A19" s="153" t="s">
        <v>858</v>
      </c>
      <c r="B19" s="290">
        <v>88.48</v>
      </c>
      <c r="C19" s="289">
        <v>0</v>
      </c>
      <c r="D19" s="289">
        <v>0</v>
      </c>
      <c r="E19" s="289">
        <v>92.3</v>
      </c>
      <c r="F19" s="289">
        <v>75</v>
      </c>
      <c r="G19" s="289">
        <v>86.5</v>
      </c>
      <c r="H19" s="289">
        <v>75</v>
      </c>
      <c r="I19" s="289">
        <v>0</v>
      </c>
      <c r="J19" s="289">
        <v>0</v>
      </c>
      <c r="K19" s="289">
        <v>0</v>
      </c>
      <c r="L19" s="289">
        <v>0</v>
      </c>
    </row>
    <row r="20" spans="1:12" s="40" customFormat="1" ht="39.75">
      <c r="A20" s="153" t="s">
        <v>336</v>
      </c>
      <c r="B20" s="290">
        <v>27.65</v>
      </c>
      <c r="C20" s="289">
        <v>0</v>
      </c>
      <c r="D20" s="289">
        <v>0</v>
      </c>
      <c r="E20" s="289">
        <v>0</v>
      </c>
      <c r="F20" s="289">
        <v>0</v>
      </c>
      <c r="G20" s="289">
        <v>0</v>
      </c>
      <c r="H20" s="289">
        <v>36</v>
      </c>
      <c r="I20" s="289">
        <v>18.2</v>
      </c>
      <c r="J20" s="289">
        <v>0</v>
      </c>
      <c r="K20" s="289">
        <v>0</v>
      </c>
      <c r="L20" s="289">
        <v>0</v>
      </c>
    </row>
    <row r="21" spans="1:12" s="40" customFormat="1" ht="45" customHeight="1">
      <c r="A21" s="174" t="s">
        <v>343</v>
      </c>
      <c r="B21" s="290">
        <v>2.94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3</v>
      </c>
      <c r="I21" s="289">
        <v>0</v>
      </c>
      <c r="J21" s="289">
        <v>0</v>
      </c>
      <c r="K21" s="289">
        <v>0</v>
      </c>
      <c r="L21" s="289">
        <v>0</v>
      </c>
    </row>
    <row r="22" spans="1:12" s="40" customFormat="1" ht="45" customHeight="1">
      <c r="A22" s="339" t="s">
        <v>773</v>
      </c>
      <c r="B22" s="345">
        <v>17.44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6">
        <v>0</v>
      </c>
      <c r="J22" s="346">
        <v>0</v>
      </c>
      <c r="K22" s="346">
        <v>17.6</v>
      </c>
      <c r="L22" s="346">
        <v>0</v>
      </c>
    </row>
    <row r="23" s="40" customFormat="1" ht="14.25"/>
    <row r="34" spans="1:12" ht="15.75">
      <c r="A34" s="458" t="str">
        <f>"- "&amp;Sheet1!D29&amp;" -"</f>
        <v>- 176 -</v>
      </c>
      <c r="B34" s="458"/>
      <c r="C34" s="458"/>
      <c r="D34" s="458"/>
      <c r="E34" s="458"/>
      <c r="F34" s="458" t="str">
        <f>"- "&amp;Sheet1!E29&amp;" -"</f>
        <v>- 177 -</v>
      </c>
      <c r="G34" s="458"/>
      <c r="H34" s="458"/>
      <c r="I34" s="458"/>
      <c r="J34" s="458"/>
      <c r="K34" s="458"/>
      <c r="L34" s="458"/>
    </row>
    <row r="44" ht="15.75">
      <c r="A44" s="328"/>
    </row>
  </sheetData>
  <sheetProtection/>
  <mergeCells count="6">
    <mergeCell ref="A34:E34"/>
    <mergeCell ref="F34:L34"/>
    <mergeCell ref="A1:E1"/>
    <mergeCell ref="F1:L1"/>
    <mergeCell ref="A3:D3"/>
    <mergeCell ref="G3:K3"/>
  </mergeCells>
  <printOptions/>
  <pageMargins left="0.6299212598425197" right="0.3937007874015748" top="0.5511811023622047" bottom="0.012254901960784314" header="0.5118110236220472" footer="0.708661417322834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4"/>
  <sheetViews>
    <sheetView view="pageLayout" zoomScaleSheetLayoutView="85" workbookViewId="0" topLeftCell="A22">
      <selection activeCell="A39" sqref="A39:E39"/>
    </sheetView>
  </sheetViews>
  <sheetFormatPr defaultColWidth="9.00390625" defaultRowHeight="16.5"/>
  <cols>
    <col min="1" max="1" width="46.00390625" style="79" customWidth="1"/>
    <col min="2" max="5" width="11.125" style="79" customWidth="1"/>
    <col min="6" max="12" width="12.25390625" style="79" customWidth="1"/>
    <col min="13" max="16384" width="9.00390625" style="79" customWidth="1"/>
  </cols>
  <sheetData>
    <row r="1" spans="1:12" s="80" customFormat="1" ht="19.5" customHeight="1">
      <c r="A1" s="459" t="s">
        <v>298</v>
      </c>
      <c r="B1" s="459"/>
      <c r="C1" s="459"/>
      <c r="D1" s="459"/>
      <c r="E1" s="459"/>
      <c r="F1" s="403" t="s">
        <v>299</v>
      </c>
      <c r="G1" s="403"/>
      <c r="H1" s="403"/>
      <c r="I1" s="403"/>
      <c r="J1" s="403"/>
      <c r="K1" s="403"/>
      <c r="L1" s="403"/>
    </row>
    <row r="2" spans="1:12" ht="3" customHeight="1">
      <c r="A2" s="11"/>
      <c r="B2" s="34"/>
      <c r="C2" s="34"/>
      <c r="D2" s="34"/>
      <c r="E2" s="156"/>
      <c r="F2" s="112"/>
      <c r="G2" s="34"/>
      <c r="H2" s="34"/>
      <c r="I2" s="11"/>
      <c r="J2" s="11"/>
      <c r="K2" s="11"/>
      <c r="L2" s="30"/>
    </row>
    <row r="3" spans="1:12" s="75" customFormat="1" ht="15" customHeight="1">
      <c r="A3" s="474" t="s">
        <v>462</v>
      </c>
      <c r="B3" s="475"/>
      <c r="C3" s="475"/>
      <c r="D3" s="475"/>
      <c r="E3" s="50" t="s">
        <v>669</v>
      </c>
      <c r="F3" s="21"/>
      <c r="G3" s="476" t="s">
        <v>463</v>
      </c>
      <c r="H3" s="476"/>
      <c r="I3" s="476"/>
      <c r="J3" s="476"/>
      <c r="K3" s="476"/>
      <c r="L3" s="115" t="s">
        <v>941</v>
      </c>
    </row>
    <row r="4" spans="1:12" s="40" customFormat="1" ht="30.75" customHeight="1">
      <c r="A4" s="125" t="s">
        <v>958</v>
      </c>
      <c r="B4" s="125" t="s">
        <v>960</v>
      </c>
      <c r="C4" s="157" t="s">
        <v>465</v>
      </c>
      <c r="D4" s="157" t="s">
        <v>466</v>
      </c>
      <c r="E4" s="157" t="s">
        <v>467</v>
      </c>
      <c r="F4" s="157" t="s">
        <v>468</v>
      </c>
      <c r="G4" s="125" t="s">
        <v>469</v>
      </c>
      <c r="H4" s="158" t="s">
        <v>470</v>
      </c>
      <c r="I4" s="158" t="s">
        <v>169</v>
      </c>
      <c r="J4" s="158" t="s">
        <v>472</v>
      </c>
      <c r="K4" s="158" t="s">
        <v>473</v>
      </c>
      <c r="L4" s="158" t="s">
        <v>476</v>
      </c>
    </row>
    <row r="5" spans="1:12" s="40" customFormat="1" ht="27">
      <c r="A5" s="176" t="s">
        <v>346</v>
      </c>
      <c r="B5" s="281">
        <v>29.49</v>
      </c>
      <c r="C5" s="281">
        <v>17.8</v>
      </c>
      <c r="D5" s="281">
        <v>22.7</v>
      </c>
      <c r="E5" s="281">
        <v>23.5</v>
      </c>
      <c r="F5" s="281">
        <v>28.2</v>
      </c>
      <c r="G5" s="281">
        <v>28.5</v>
      </c>
      <c r="H5" s="281">
        <v>31.4</v>
      </c>
      <c r="I5" s="281">
        <v>38.4</v>
      </c>
      <c r="J5" s="281">
        <v>43.5</v>
      </c>
      <c r="K5" s="281">
        <v>36.8</v>
      </c>
      <c r="L5" s="281">
        <f>1790/'表25(續完)'!L5*100</f>
        <v>37.06771588320563</v>
      </c>
    </row>
    <row r="6" spans="1:12" s="42" customFormat="1" ht="27">
      <c r="A6" s="153" t="s">
        <v>347</v>
      </c>
      <c r="B6" s="282">
        <v>37.98</v>
      </c>
      <c r="C6" s="283">
        <v>0</v>
      </c>
      <c r="D6" s="283">
        <v>33.3</v>
      </c>
      <c r="E6" s="283">
        <v>34.7</v>
      </c>
      <c r="F6" s="283">
        <v>36.4</v>
      </c>
      <c r="G6" s="283">
        <v>33.4</v>
      </c>
      <c r="H6" s="283">
        <v>36.5</v>
      </c>
      <c r="I6" s="283">
        <v>39.6</v>
      </c>
      <c r="J6" s="283">
        <v>40.5</v>
      </c>
      <c r="K6" s="283">
        <v>40.1</v>
      </c>
      <c r="L6" s="283">
        <f>680/'表25(續完)'!L6*100</f>
        <v>44.9438202247191</v>
      </c>
    </row>
    <row r="7" spans="1:12" s="40" customFormat="1" ht="39.75">
      <c r="A7" s="153" t="s">
        <v>1006</v>
      </c>
      <c r="B7" s="282">
        <v>57.96</v>
      </c>
      <c r="C7" s="283">
        <v>52.3</v>
      </c>
      <c r="D7" s="283">
        <v>56</v>
      </c>
      <c r="E7" s="283">
        <v>58.2</v>
      </c>
      <c r="F7" s="283">
        <v>59.9</v>
      </c>
      <c r="G7" s="283">
        <v>57.2</v>
      </c>
      <c r="H7" s="283">
        <v>57.7</v>
      </c>
      <c r="I7" s="283">
        <v>58.1</v>
      </c>
      <c r="J7" s="283">
        <v>61</v>
      </c>
      <c r="K7" s="283">
        <v>59.6</v>
      </c>
      <c r="L7" s="283">
        <f>1068/'表25(續完)'!L7*100</f>
        <v>59.831932773109244</v>
      </c>
    </row>
    <row r="8" spans="1:17" s="40" customFormat="1" ht="39.75">
      <c r="A8" s="153" t="s">
        <v>1007</v>
      </c>
      <c r="B8" s="282">
        <v>1.002</v>
      </c>
      <c r="C8" s="283">
        <v>2</v>
      </c>
      <c r="D8" s="283">
        <v>1.3</v>
      </c>
      <c r="E8" s="283">
        <v>0.9</v>
      </c>
      <c r="F8" s="283">
        <v>0.8</v>
      </c>
      <c r="G8" s="283">
        <v>0.5</v>
      </c>
      <c r="H8" s="283">
        <v>0.6</v>
      </c>
      <c r="I8" s="283">
        <v>0</v>
      </c>
      <c r="J8" s="283">
        <v>0</v>
      </c>
      <c r="K8" s="283">
        <v>0.4</v>
      </c>
      <c r="L8" s="283">
        <f>6/'表25(續完)'!L8*100</f>
        <v>0.4611837048424289</v>
      </c>
      <c r="M8" s="42"/>
      <c r="N8" s="42"/>
      <c r="O8" s="42"/>
      <c r="P8" s="42"/>
      <c r="Q8" s="42"/>
    </row>
    <row r="9" spans="1:12" s="40" customFormat="1" ht="39.75">
      <c r="A9" s="153" t="s">
        <v>348</v>
      </c>
      <c r="B9" s="282">
        <v>20.04</v>
      </c>
      <c r="C9" s="283">
        <v>18.8</v>
      </c>
      <c r="D9" s="283">
        <v>18.6</v>
      </c>
      <c r="E9" s="283">
        <v>14.1</v>
      </c>
      <c r="F9" s="283">
        <v>29.1</v>
      </c>
      <c r="G9" s="283">
        <v>23.1</v>
      </c>
      <c r="H9" s="283">
        <v>25.6</v>
      </c>
      <c r="I9" s="283">
        <v>20.7</v>
      </c>
      <c r="J9" s="283">
        <v>28.4</v>
      </c>
      <c r="K9" s="283">
        <v>23.9</v>
      </c>
      <c r="L9" s="283">
        <f>35/'表25(續完)'!L9*100</f>
        <v>23.64864864864865</v>
      </c>
    </row>
    <row r="10" spans="1:12" s="40" customFormat="1" ht="27">
      <c r="A10" s="153" t="s">
        <v>774</v>
      </c>
      <c r="B10" s="282">
        <v>3</v>
      </c>
      <c r="C10" s="283">
        <v>0</v>
      </c>
      <c r="D10" s="283">
        <v>0</v>
      </c>
      <c r="E10" s="283">
        <v>0</v>
      </c>
      <c r="F10" s="283">
        <v>0</v>
      </c>
      <c r="G10" s="283">
        <v>0</v>
      </c>
      <c r="H10" s="283">
        <v>0</v>
      </c>
      <c r="I10" s="283">
        <v>3</v>
      </c>
      <c r="J10" s="283">
        <v>4.3</v>
      </c>
      <c r="K10" s="283">
        <v>3</v>
      </c>
      <c r="L10" s="283">
        <f>1/'表25(續完)'!L10*100</f>
        <v>1.2195121951219512</v>
      </c>
    </row>
    <row r="11" spans="1:12" s="40" customFormat="1" ht="18" customHeight="1">
      <c r="A11" s="175"/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8"/>
    </row>
    <row r="12" spans="1:12" s="42" customFormat="1" ht="27">
      <c r="A12" s="176" t="s">
        <v>349</v>
      </c>
      <c r="B12" s="280">
        <f>'表34'!D9/'表34'!D7*100</f>
        <v>71.96485623003196</v>
      </c>
      <c r="C12" s="281">
        <v>93.9</v>
      </c>
      <c r="D12" s="281">
        <v>63.6</v>
      </c>
      <c r="E12" s="281">
        <v>75.9</v>
      </c>
      <c r="F12" s="281">
        <v>69.4</v>
      </c>
      <c r="G12" s="281">
        <v>71.1</v>
      </c>
      <c r="H12" s="281">
        <v>70.5</v>
      </c>
      <c r="I12" s="281">
        <v>77.7</v>
      </c>
      <c r="J12" s="281">
        <v>80.1</v>
      </c>
      <c r="K12" s="281">
        <v>57.3</v>
      </c>
      <c r="L12" s="281">
        <f>142/'表25(續完)'!L12*100</f>
        <v>73.19587628865979</v>
      </c>
    </row>
    <row r="13" spans="1:12" s="40" customFormat="1" ht="14.25">
      <c r="A13" s="153" t="s">
        <v>21</v>
      </c>
      <c r="B13" s="282">
        <f>'表34'!D12/'表34'!D10*100</f>
        <v>52.51141552511416</v>
      </c>
      <c r="C13" s="283">
        <v>0</v>
      </c>
      <c r="D13" s="283">
        <v>46.2</v>
      </c>
      <c r="E13" s="283">
        <v>0</v>
      </c>
      <c r="F13" s="283">
        <v>63.6</v>
      </c>
      <c r="G13" s="283">
        <v>40.9</v>
      </c>
      <c r="H13" s="283">
        <v>52.6</v>
      </c>
      <c r="I13" s="283">
        <v>51.9</v>
      </c>
      <c r="J13" s="283">
        <v>57.1</v>
      </c>
      <c r="K13" s="283">
        <v>33.3</v>
      </c>
      <c r="L13" s="283">
        <f>19/'表25(續完)'!L13*100</f>
        <v>57.57575757575758</v>
      </c>
    </row>
    <row r="14" spans="1:12" s="40" customFormat="1" ht="39.75">
      <c r="A14" s="153" t="s">
        <v>1008</v>
      </c>
      <c r="B14" s="282">
        <f>'表34'!D39/'表34'!D37*100</f>
        <v>76.41277641277642</v>
      </c>
      <c r="C14" s="283">
        <f>0.939393939393939*100</f>
        <v>93.9393939393939</v>
      </c>
      <c r="D14" s="283">
        <v>79.3</v>
      </c>
      <c r="E14" s="283">
        <v>75.9</v>
      </c>
      <c r="F14" s="283">
        <v>69.2</v>
      </c>
      <c r="G14" s="283">
        <v>73.8</v>
      </c>
      <c r="H14" s="283">
        <v>74.4</v>
      </c>
      <c r="I14" s="283">
        <v>84</v>
      </c>
      <c r="J14" s="283">
        <v>83.5</v>
      </c>
      <c r="K14" s="283">
        <v>66.7</v>
      </c>
      <c r="L14" s="283">
        <f>101/'表25(續完)'!L14*100</f>
        <v>76.51515151515152</v>
      </c>
    </row>
    <row r="15" spans="1:12" s="40" customFormat="1" ht="27">
      <c r="A15" s="153" t="s">
        <v>22</v>
      </c>
      <c r="B15" s="282">
        <f>'表34(續1)'!D33/'表34(續1)'!D31*100</f>
        <v>74.88584474885845</v>
      </c>
      <c r="C15" s="283">
        <v>0</v>
      </c>
      <c r="D15" s="283">
        <v>0</v>
      </c>
      <c r="E15" s="283">
        <v>0</v>
      </c>
      <c r="F15" s="283">
        <v>81.8</v>
      </c>
      <c r="G15" s="283">
        <v>82.6</v>
      </c>
      <c r="H15" s="283">
        <v>77.8</v>
      </c>
      <c r="I15" s="283">
        <v>81</v>
      </c>
      <c r="J15" s="283">
        <v>81.4</v>
      </c>
      <c r="K15" s="283">
        <v>50</v>
      </c>
      <c r="L15" s="283">
        <f>'表34(續完)'!D12/'表34(續完)'!D10*100</f>
        <v>75.86206896551724</v>
      </c>
    </row>
    <row r="16" spans="1:12" ht="15.75">
      <c r="A16" s="242"/>
      <c r="B16" s="285"/>
      <c r="C16" s="286"/>
      <c r="D16" s="285"/>
      <c r="E16" s="286"/>
      <c r="F16" s="286"/>
      <c r="G16" s="286"/>
      <c r="H16" s="286"/>
      <c r="I16" s="286"/>
      <c r="J16" s="286"/>
      <c r="K16" s="286"/>
      <c r="L16" s="286"/>
    </row>
    <row r="17" spans="1:12" ht="30" customHeight="1">
      <c r="A17" s="176" t="s">
        <v>686</v>
      </c>
      <c r="B17" s="309">
        <f>SUM(C17:L17)/2</f>
        <v>29.442857142857143</v>
      </c>
      <c r="C17" s="287">
        <v>0</v>
      </c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1">
        <v>19.6</v>
      </c>
      <c r="L17" s="281">
        <f>22/56*100</f>
        <v>39.285714285714285</v>
      </c>
    </row>
    <row r="18" spans="1:12" s="40" customFormat="1" ht="15.75" customHeight="1">
      <c r="A18" s="153"/>
      <c r="B18" s="282"/>
      <c r="C18" s="283"/>
      <c r="D18" s="283"/>
      <c r="E18" s="283"/>
      <c r="F18" s="283"/>
      <c r="G18" s="283"/>
      <c r="H18" s="283"/>
      <c r="I18" s="283"/>
      <c r="J18" s="283"/>
      <c r="K18" s="283"/>
      <c r="L18" s="283"/>
    </row>
    <row r="19" spans="1:12" s="40" customFormat="1" ht="14.25">
      <c r="A19" s="176" t="s">
        <v>685</v>
      </c>
      <c r="B19" s="280">
        <f>'表36'!D9/'表36'!D7*100</f>
        <v>53.150281931846045</v>
      </c>
      <c r="C19" s="281">
        <v>51.3</v>
      </c>
      <c r="D19" s="281">
        <v>51.9</v>
      </c>
      <c r="E19" s="281">
        <v>52.5</v>
      </c>
      <c r="F19" s="281">
        <v>45.8</v>
      </c>
      <c r="G19" s="281">
        <v>48.9</v>
      </c>
      <c r="H19" s="281">
        <v>53.8</v>
      </c>
      <c r="I19" s="281">
        <v>58.7</v>
      </c>
      <c r="J19" s="281">
        <v>61.3</v>
      </c>
      <c r="K19" s="281">
        <v>61.6</v>
      </c>
      <c r="L19" s="281">
        <f>140/'表25(續完)'!L19*100</f>
        <v>60.86956521739131</v>
      </c>
    </row>
    <row r="20" spans="1:12" s="40" customFormat="1" ht="14.25">
      <c r="A20" s="153" t="s">
        <v>341</v>
      </c>
      <c r="B20" s="282">
        <f>'表36'!D12/'表36'!D10*100</f>
        <v>22.37442922374429</v>
      </c>
      <c r="C20" s="283">
        <v>9.5</v>
      </c>
      <c r="D20" s="283">
        <v>20.8</v>
      </c>
      <c r="E20" s="283">
        <v>17.6</v>
      </c>
      <c r="F20" s="283">
        <v>20.5</v>
      </c>
      <c r="G20" s="283">
        <v>19.4</v>
      </c>
      <c r="H20" s="283">
        <v>28.8</v>
      </c>
      <c r="I20" s="283">
        <v>28.8</v>
      </c>
      <c r="J20" s="283">
        <v>0</v>
      </c>
      <c r="K20" s="283">
        <v>0</v>
      </c>
      <c r="L20" s="283">
        <v>0</v>
      </c>
    </row>
    <row r="21" spans="1:12" s="40" customFormat="1" ht="14.25">
      <c r="A21" s="153" t="s">
        <v>337</v>
      </c>
      <c r="B21" s="282">
        <f>'表36'!D36/'表36'!D34*100</f>
        <v>47.89189189189189</v>
      </c>
      <c r="C21" s="283">
        <v>34.8</v>
      </c>
      <c r="D21" s="283">
        <v>34.9</v>
      </c>
      <c r="E21" s="283">
        <v>29</v>
      </c>
      <c r="F21" s="283">
        <v>46.3</v>
      </c>
      <c r="G21" s="283">
        <v>48.6</v>
      </c>
      <c r="H21" s="283">
        <v>50.9</v>
      </c>
      <c r="I21" s="283">
        <v>57</v>
      </c>
      <c r="J21" s="283">
        <v>0</v>
      </c>
      <c r="K21" s="283">
        <v>60.3</v>
      </c>
      <c r="L21" s="283">
        <f>'表36(續1)'!D27/'表36(續1)'!D25*100</f>
        <v>54.90196078431373</v>
      </c>
    </row>
    <row r="22" spans="1:12" s="40" customFormat="1" ht="27">
      <c r="A22" s="153" t="s">
        <v>338</v>
      </c>
      <c r="B22" s="282">
        <f>'表36(續1)'!D30/'表36(續1)'!D28*100</f>
        <v>66.37401229148375</v>
      </c>
      <c r="C22" s="283">
        <v>64.1</v>
      </c>
      <c r="D22" s="283">
        <v>61.7</v>
      </c>
      <c r="E22" s="283">
        <v>63</v>
      </c>
      <c r="F22" s="283">
        <v>67</v>
      </c>
      <c r="G22" s="283">
        <v>65.2</v>
      </c>
      <c r="H22" s="283">
        <v>64.6</v>
      </c>
      <c r="I22" s="283">
        <v>74.4</v>
      </c>
      <c r="J22" s="283">
        <v>68.3</v>
      </c>
      <c r="K22" s="283">
        <v>74.5</v>
      </c>
      <c r="L22" s="283">
        <f>'表36(續2)'!D24/'表36(續2)'!D22*100</f>
        <v>71.01449275362319</v>
      </c>
    </row>
    <row r="23" spans="1:12" s="40" customFormat="1" ht="27">
      <c r="A23" s="153" t="s">
        <v>339</v>
      </c>
      <c r="B23" s="282">
        <f>'表36(續2)'!D27/'表36(續2)'!D25*100</f>
        <v>65.0314465408805</v>
      </c>
      <c r="C23" s="283">
        <v>58.1</v>
      </c>
      <c r="D23" s="283">
        <v>62.4</v>
      </c>
      <c r="E23" s="283">
        <v>68.7</v>
      </c>
      <c r="F23" s="283">
        <v>56.1</v>
      </c>
      <c r="G23" s="283">
        <v>63.9</v>
      </c>
      <c r="H23" s="283">
        <v>64.3</v>
      </c>
      <c r="I23" s="283">
        <v>75</v>
      </c>
      <c r="J23" s="283">
        <v>88.2</v>
      </c>
      <c r="K23" s="283">
        <v>73.1</v>
      </c>
      <c r="L23" s="283">
        <f>'表36(續3)'!D21/'表36(續3)'!D19*100</f>
        <v>79.41176470588235</v>
      </c>
    </row>
    <row r="24" spans="1:12" s="40" customFormat="1" ht="39.75">
      <c r="A24" s="153" t="s">
        <v>340</v>
      </c>
      <c r="B24" s="282">
        <f>'表36(續3)'!D24/'表36(續3)'!D22*100</f>
        <v>45.26854219948849</v>
      </c>
      <c r="C24" s="283">
        <v>48.5</v>
      </c>
      <c r="D24" s="283">
        <v>46.6</v>
      </c>
      <c r="E24" s="283">
        <v>33.3</v>
      </c>
      <c r="F24" s="283">
        <v>37.3</v>
      </c>
      <c r="G24" s="283">
        <v>39.5</v>
      </c>
      <c r="H24" s="283">
        <v>44.6</v>
      </c>
      <c r="I24" s="283">
        <v>50</v>
      </c>
      <c r="J24" s="283">
        <v>53.6</v>
      </c>
      <c r="K24" s="283">
        <v>45.8</v>
      </c>
      <c r="L24" s="283">
        <f>'表36(續完)'!D18/'表36(續完)'!D16*100</f>
        <v>47.368421052631575</v>
      </c>
    </row>
    <row r="25" spans="1:12" s="40" customFormat="1" ht="8.25" customHeight="1">
      <c r="A25" s="187"/>
      <c r="B25" s="188"/>
      <c r="C25" s="188"/>
      <c r="D25" s="188"/>
      <c r="E25" s="188"/>
      <c r="F25" s="188"/>
      <c r="G25" s="188"/>
      <c r="H25" s="188"/>
      <c r="I25" s="188"/>
      <c r="J25" s="32"/>
      <c r="K25" s="48"/>
      <c r="L25" s="48"/>
    </row>
    <row r="39" spans="1:12" ht="15.75">
      <c r="A39" s="458" t="str">
        <f>"- "&amp;Sheet1!F29&amp;" -"</f>
        <v>- 178 -</v>
      </c>
      <c r="B39" s="458"/>
      <c r="C39" s="458"/>
      <c r="D39" s="458"/>
      <c r="E39" s="458"/>
      <c r="F39" s="458" t="str">
        <f>"- "&amp;Sheet1!G29&amp;" -"</f>
        <v>- 179 -</v>
      </c>
      <c r="G39" s="458"/>
      <c r="H39" s="458"/>
      <c r="I39" s="458"/>
      <c r="J39" s="458"/>
      <c r="K39" s="458"/>
      <c r="L39" s="458"/>
    </row>
    <row r="44" ht="15.75">
      <c r="A44" s="328"/>
    </row>
  </sheetData>
  <sheetProtection/>
  <mergeCells count="6">
    <mergeCell ref="A39:E39"/>
    <mergeCell ref="F39:L39"/>
    <mergeCell ref="A1:E1"/>
    <mergeCell ref="F1:L1"/>
    <mergeCell ref="A3:D3"/>
    <mergeCell ref="G3:K3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view="pageLayout" zoomScaleNormal="85" zoomScaleSheetLayoutView="100" workbookViewId="0" topLeftCell="A23">
      <selection activeCell="A42" sqref="A42:E42"/>
    </sheetView>
  </sheetViews>
  <sheetFormatPr defaultColWidth="9.00390625" defaultRowHeight="16.5"/>
  <cols>
    <col min="1" max="1" width="40.875" style="79" customWidth="1"/>
    <col min="2" max="5" width="11.125" style="79" customWidth="1"/>
    <col min="6" max="12" width="12.125" style="79" customWidth="1"/>
    <col min="13" max="16384" width="9.00390625" style="79" customWidth="1"/>
  </cols>
  <sheetData>
    <row r="1" spans="1:12" s="80" customFormat="1" ht="21.75" customHeight="1">
      <c r="A1" s="459" t="s">
        <v>28</v>
      </c>
      <c r="B1" s="459"/>
      <c r="C1" s="459"/>
      <c r="D1" s="459"/>
      <c r="E1" s="459"/>
      <c r="F1" s="459" t="s">
        <v>204</v>
      </c>
      <c r="G1" s="459"/>
      <c r="H1" s="459"/>
      <c r="I1" s="459"/>
      <c r="J1" s="459"/>
      <c r="K1" s="459"/>
      <c r="L1" s="459"/>
    </row>
    <row r="2" spans="1:12" ht="3" customHeight="1">
      <c r="A2" s="11"/>
      <c r="B2" s="34"/>
      <c r="C2" s="34"/>
      <c r="D2" s="34"/>
      <c r="E2" s="156"/>
      <c r="F2" s="112"/>
      <c r="G2" s="34"/>
      <c r="H2" s="34"/>
      <c r="I2" s="11"/>
      <c r="J2" s="11"/>
      <c r="K2" s="11"/>
      <c r="L2" s="30"/>
    </row>
    <row r="3" spans="1:12" s="75" customFormat="1" ht="15" customHeight="1">
      <c r="A3" s="460" t="s">
        <v>831</v>
      </c>
      <c r="B3" s="461"/>
      <c r="C3" s="461"/>
      <c r="D3" s="461"/>
      <c r="E3" s="4" t="s">
        <v>899</v>
      </c>
      <c r="F3" s="21"/>
      <c r="G3" s="484" t="s">
        <v>832</v>
      </c>
      <c r="H3" s="484"/>
      <c r="I3" s="484"/>
      <c r="J3" s="484"/>
      <c r="K3" s="484"/>
      <c r="L3" s="67" t="s">
        <v>451</v>
      </c>
    </row>
    <row r="4" spans="1:10" s="11" customFormat="1" ht="3.75" customHeight="1">
      <c r="A4" s="160"/>
      <c r="B4" s="232"/>
      <c r="C4" s="160"/>
      <c r="D4" s="160"/>
      <c r="E4" s="160"/>
      <c r="F4" s="160"/>
      <c r="G4" s="160"/>
      <c r="H4" s="160"/>
      <c r="I4" s="160"/>
      <c r="J4" s="160"/>
    </row>
    <row r="5" spans="1:12" s="40" customFormat="1" ht="32.25" customHeight="1">
      <c r="A5" s="125" t="s">
        <v>958</v>
      </c>
      <c r="B5" s="335" t="s">
        <v>158</v>
      </c>
      <c r="C5" s="157" t="s">
        <v>477</v>
      </c>
      <c r="D5" s="157" t="s">
        <v>478</v>
      </c>
      <c r="E5" s="157" t="s">
        <v>479</v>
      </c>
      <c r="F5" s="157" t="s">
        <v>480</v>
      </c>
      <c r="G5" s="125" t="s">
        <v>481</v>
      </c>
      <c r="H5" s="158" t="s">
        <v>482</v>
      </c>
      <c r="I5" s="158" t="s">
        <v>483</v>
      </c>
      <c r="J5" s="158" t="s">
        <v>484</v>
      </c>
      <c r="K5" s="158" t="s">
        <v>485</v>
      </c>
      <c r="L5" s="158" t="s">
        <v>486</v>
      </c>
    </row>
    <row r="6" spans="1:10" s="11" customFormat="1" ht="3.75" customHeight="1">
      <c r="A6" s="160"/>
      <c r="B6" s="159"/>
      <c r="C6" s="160"/>
      <c r="D6" s="160"/>
      <c r="E6" s="160"/>
      <c r="F6" s="160"/>
      <c r="G6" s="160"/>
      <c r="H6" s="160"/>
      <c r="I6" s="160"/>
      <c r="J6" s="160"/>
    </row>
    <row r="7" spans="1:12" s="40" customFormat="1" ht="14.25">
      <c r="A7" s="145" t="s">
        <v>900</v>
      </c>
      <c r="B7" s="13">
        <f>SUM(C7:L7)/10</f>
        <v>34.6</v>
      </c>
      <c r="C7" s="13">
        <v>35</v>
      </c>
      <c r="D7" s="13">
        <v>36</v>
      </c>
      <c r="E7" s="13">
        <v>36</v>
      </c>
      <c r="F7" s="13">
        <v>35</v>
      </c>
      <c r="G7" s="13">
        <v>35</v>
      </c>
      <c r="H7" s="13">
        <v>34</v>
      </c>
      <c r="I7" s="13">
        <v>33</v>
      </c>
      <c r="J7" s="13">
        <v>33</v>
      </c>
      <c r="K7" s="13">
        <v>34</v>
      </c>
      <c r="L7" s="13">
        <v>35</v>
      </c>
    </row>
    <row r="8" spans="1:12" s="40" customFormat="1" ht="36">
      <c r="A8" s="180" t="s">
        <v>351</v>
      </c>
      <c r="B8" s="266">
        <f>SUM(C8:L8)/10</f>
        <v>29.7</v>
      </c>
      <c r="C8" s="266">
        <v>29</v>
      </c>
      <c r="D8" s="110">
        <v>29</v>
      </c>
      <c r="E8" s="110">
        <v>29</v>
      </c>
      <c r="F8" s="110">
        <v>30</v>
      </c>
      <c r="G8" s="110">
        <v>30</v>
      </c>
      <c r="H8" s="110">
        <v>30</v>
      </c>
      <c r="I8" s="110">
        <v>30</v>
      </c>
      <c r="J8" s="110">
        <v>30</v>
      </c>
      <c r="K8" s="110">
        <v>30</v>
      </c>
      <c r="L8" s="110">
        <v>30</v>
      </c>
    </row>
    <row r="9" spans="1:12" s="40" customFormat="1" ht="14.25">
      <c r="A9" s="181" t="s">
        <v>887</v>
      </c>
      <c r="B9" s="13">
        <f>SUM(C9:L9)/10</f>
        <v>29.5</v>
      </c>
      <c r="C9" s="13">
        <v>29</v>
      </c>
      <c r="D9" s="13">
        <v>28</v>
      </c>
      <c r="E9" s="13">
        <v>29</v>
      </c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>
        <v>30</v>
      </c>
      <c r="L9" s="13">
        <v>29</v>
      </c>
    </row>
    <row r="10" spans="1:12" s="40" customFormat="1" ht="14.25">
      <c r="A10" s="181" t="s">
        <v>888</v>
      </c>
      <c r="B10" s="13">
        <f>SUM(C10:L10)/10</f>
        <v>29.6</v>
      </c>
      <c r="C10" s="13">
        <v>29</v>
      </c>
      <c r="D10" s="13">
        <v>28</v>
      </c>
      <c r="E10" s="13">
        <v>29</v>
      </c>
      <c r="F10" s="13">
        <v>30</v>
      </c>
      <c r="G10" s="13">
        <v>30</v>
      </c>
      <c r="H10" s="13">
        <v>30</v>
      </c>
      <c r="I10" s="13">
        <v>30</v>
      </c>
      <c r="J10" s="13">
        <v>30</v>
      </c>
      <c r="K10" s="13">
        <v>30</v>
      </c>
      <c r="L10" s="13">
        <v>30</v>
      </c>
    </row>
    <row r="11" spans="1:12" s="40" customFormat="1" ht="14.25">
      <c r="A11" s="175" t="s">
        <v>844</v>
      </c>
      <c r="B11" s="13">
        <f>SUM(C11:L11)/10</f>
        <v>29.8</v>
      </c>
      <c r="C11" s="13">
        <v>29</v>
      </c>
      <c r="D11" s="13">
        <v>30</v>
      </c>
      <c r="E11" s="13">
        <v>30</v>
      </c>
      <c r="F11" s="13">
        <v>31</v>
      </c>
      <c r="G11" s="13">
        <v>30</v>
      </c>
      <c r="H11" s="13">
        <v>29</v>
      </c>
      <c r="I11" s="13">
        <v>29</v>
      </c>
      <c r="J11" s="13">
        <v>30</v>
      </c>
      <c r="K11" s="13">
        <v>30</v>
      </c>
      <c r="L11" s="111">
        <v>30</v>
      </c>
    </row>
    <row r="12" spans="1:12" s="40" customFormat="1" ht="36">
      <c r="A12" s="180" t="s">
        <v>352</v>
      </c>
      <c r="B12" s="266">
        <f>SUM(B13:B34,'表29(續完)'!B7:B12)/28</f>
        <v>28.324107142857144</v>
      </c>
      <c r="C12" s="110">
        <v>28</v>
      </c>
      <c r="D12" s="110">
        <v>27</v>
      </c>
      <c r="E12" s="110">
        <v>29</v>
      </c>
      <c r="F12" s="110">
        <v>28</v>
      </c>
      <c r="G12" s="110">
        <v>27</v>
      </c>
      <c r="H12" s="110">
        <v>28</v>
      </c>
      <c r="I12" s="110">
        <v>29</v>
      </c>
      <c r="J12" s="110">
        <v>28</v>
      </c>
      <c r="K12" s="110">
        <v>29</v>
      </c>
      <c r="L12" s="110">
        <v>31</v>
      </c>
    </row>
    <row r="13" spans="1:12" s="40" customFormat="1" ht="36">
      <c r="A13" s="182" t="s">
        <v>353</v>
      </c>
      <c r="B13" s="116">
        <f>SUM(C13:L13)/4</f>
        <v>30.25</v>
      </c>
      <c r="C13" s="13">
        <v>30</v>
      </c>
      <c r="D13" s="13">
        <v>30</v>
      </c>
      <c r="E13" s="13">
        <v>29</v>
      </c>
      <c r="F13" s="13">
        <v>32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s="40" customFormat="1" ht="36">
      <c r="A14" s="183" t="s">
        <v>55</v>
      </c>
      <c r="B14" s="13">
        <f>SUM(C14:L14)/4</f>
        <v>29.5</v>
      </c>
      <c r="C14" s="13">
        <v>29</v>
      </c>
      <c r="D14" s="13">
        <v>29</v>
      </c>
      <c r="E14" s="13">
        <v>32</v>
      </c>
      <c r="F14" s="13">
        <v>28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s="40" customFormat="1" ht="14.25">
      <c r="A15" s="183" t="s">
        <v>381</v>
      </c>
      <c r="B15" s="13">
        <f>SUM(C15:L15)/8</f>
        <v>30.25</v>
      </c>
      <c r="C15" s="13">
        <v>0</v>
      </c>
      <c r="D15" s="13">
        <v>0</v>
      </c>
      <c r="E15" s="13">
        <v>30</v>
      </c>
      <c r="F15" s="13">
        <v>31</v>
      </c>
      <c r="G15" s="13">
        <v>31</v>
      </c>
      <c r="H15" s="13">
        <v>30</v>
      </c>
      <c r="I15" s="13">
        <v>30</v>
      </c>
      <c r="J15" s="111">
        <v>30</v>
      </c>
      <c r="K15" s="13">
        <v>30</v>
      </c>
      <c r="L15" s="111">
        <v>30</v>
      </c>
    </row>
    <row r="16" spans="1:12" s="40" customFormat="1" ht="14.25">
      <c r="A16" s="181" t="s">
        <v>889</v>
      </c>
      <c r="B16" s="13">
        <f>SUM(C16:L16)/2</f>
        <v>36.5</v>
      </c>
      <c r="C16" s="111">
        <v>0</v>
      </c>
      <c r="D16" s="111">
        <v>36</v>
      </c>
      <c r="E16" s="111">
        <v>0</v>
      </c>
      <c r="F16" s="111">
        <v>37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</row>
    <row r="17" spans="1:12" s="40" customFormat="1" ht="14.25">
      <c r="A17" s="181" t="s">
        <v>890</v>
      </c>
      <c r="B17" s="13">
        <f>SUM(C17:L17)/10</f>
        <v>29.8</v>
      </c>
      <c r="C17" s="111">
        <v>29</v>
      </c>
      <c r="D17" s="111">
        <v>30</v>
      </c>
      <c r="E17" s="111">
        <v>29</v>
      </c>
      <c r="F17" s="111">
        <v>30</v>
      </c>
      <c r="G17" s="111">
        <v>30</v>
      </c>
      <c r="H17" s="111">
        <v>30</v>
      </c>
      <c r="I17" s="111">
        <v>30</v>
      </c>
      <c r="J17" s="111">
        <v>30</v>
      </c>
      <c r="K17" s="111">
        <v>30</v>
      </c>
      <c r="L17" s="111">
        <v>30</v>
      </c>
    </row>
    <row r="18" spans="1:12" s="40" customFormat="1" ht="14.25">
      <c r="A18" s="179" t="s">
        <v>891</v>
      </c>
      <c r="B18" s="13">
        <f>SUM(C18:L18)/1</f>
        <v>28</v>
      </c>
      <c r="C18" s="111">
        <v>28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s="40" customFormat="1" ht="27">
      <c r="A19" s="174" t="s">
        <v>363</v>
      </c>
      <c r="B19" s="13">
        <f>SUM(C19:L19)/10</f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s="40" customFormat="1" ht="35.25">
      <c r="A20" s="179" t="s">
        <v>354</v>
      </c>
      <c r="B20" s="13">
        <f>SUM(C20:L20)/6</f>
        <v>29</v>
      </c>
      <c r="C20" s="111">
        <v>0</v>
      </c>
      <c r="D20" s="111">
        <v>28</v>
      </c>
      <c r="E20" s="111">
        <v>26</v>
      </c>
      <c r="F20" s="111">
        <v>27</v>
      </c>
      <c r="G20" s="111">
        <v>0</v>
      </c>
      <c r="H20" s="111">
        <v>0</v>
      </c>
      <c r="I20" s="111">
        <v>36</v>
      </c>
      <c r="J20" s="111">
        <v>0</v>
      </c>
      <c r="K20" s="111">
        <v>28</v>
      </c>
      <c r="L20" s="111">
        <v>29</v>
      </c>
    </row>
    <row r="21" spans="1:12" s="40" customFormat="1" ht="35.25">
      <c r="A21" s="179" t="s">
        <v>355</v>
      </c>
      <c r="B21" s="13">
        <v>28</v>
      </c>
      <c r="C21" s="111">
        <v>29</v>
      </c>
      <c r="D21" s="111">
        <v>29</v>
      </c>
      <c r="E21" s="111">
        <v>29</v>
      </c>
      <c r="F21" s="111">
        <v>28</v>
      </c>
      <c r="G21" s="111">
        <v>29</v>
      </c>
      <c r="H21" s="111">
        <v>29</v>
      </c>
      <c r="I21" s="111">
        <v>29</v>
      </c>
      <c r="J21" s="111">
        <v>28</v>
      </c>
      <c r="K21" s="111">
        <v>28</v>
      </c>
      <c r="L21" s="111">
        <v>28</v>
      </c>
    </row>
    <row r="22" spans="1:12" s="40" customFormat="1" ht="14.25">
      <c r="A22" s="181" t="s">
        <v>892</v>
      </c>
      <c r="B22" s="13">
        <f>SUM(C22:L22)/10</f>
        <v>24.6</v>
      </c>
      <c r="C22" s="111">
        <v>24</v>
      </c>
      <c r="D22" s="111">
        <v>23</v>
      </c>
      <c r="E22" s="111">
        <v>23</v>
      </c>
      <c r="F22" s="111">
        <v>22</v>
      </c>
      <c r="G22" s="111">
        <v>22</v>
      </c>
      <c r="H22" s="111">
        <v>25</v>
      </c>
      <c r="I22" s="111">
        <v>27</v>
      </c>
      <c r="J22" s="111">
        <v>24</v>
      </c>
      <c r="K22" s="111">
        <v>27</v>
      </c>
      <c r="L22" s="111">
        <v>29</v>
      </c>
    </row>
    <row r="23" spans="1:12" s="40" customFormat="1" ht="35.25">
      <c r="A23" s="179" t="s">
        <v>356</v>
      </c>
      <c r="B23" s="13">
        <f>SUM(C23:L23)/9</f>
        <v>28.555555555555557</v>
      </c>
      <c r="C23" s="111">
        <v>29</v>
      </c>
      <c r="D23" s="111">
        <v>28</v>
      </c>
      <c r="E23" s="111">
        <v>28</v>
      </c>
      <c r="F23" s="111">
        <v>28</v>
      </c>
      <c r="G23" s="111">
        <v>29</v>
      </c>
      <c r="H23" s="111">
        <v>28</v>
      </c>
      <c r="I23" s="111">
        <v>29</v>
      </c>
      <c r="J23" s="111">
        <v>29</v>
      </c>
      <c r="K23" s="111">
        <v>0</v>
      </c>
      <c r="L23" s="111">
        <v>29</v>
      </c>
    </row>
    <row r="24" spans="1:12" s="40" customFormat="1" ht="23.25">
      <c r="A24" s="179" t="s">
        <v>380</v>
      </c>
      <c r="B24" s="13">
        <f>SUM(C24:L24)/5</f>
        <v>40.8</v>
      </c>
      <c r="C24" s="111">
        <v>38</v>
      </c>
      <c r="D24" s="111">
        <v>0</v>
      </c>
      <c r="E24" s="111">
        <v>0</v>
      </c>
      <c r="F24" s="111">
        <v>39</v>
      </c>
      <c r="G24" s="13">
        <v>0</v>
      </c>
      <c r="H24" s="111">
        <v>0</v>
      </c>
      <c r="I24" s="111">
        <v>42</v>
      </c>
      <c r="J24" s="111">
        <v>41</v>
      </c>
      <c r="K24" s="111">
        <v>44</v>
      </c>
      <c r="L24" s="111">
        <v>0</v>
      </c>
    </row>
    <row r="25" spans="1:12" s="40" customFormat="1" ht="14.25">
      <c r="A25" s="181" t="s">
        <v>350</v>
      </c>
      <c r="B25" s="13">
        <f>SUM(C25:L25)/9</f>
        <v>30.666666666666668</v>
      </c>
      <c r="C25" s="111">
        <v>29</v>
      </c>
      <c r="D25" s="111">
        <v>31</v>
      </c>
      <c r="E25" s="13">
        <v>31</v>
      </c>
      <c r="F25" s="13">
        <v>0</v>
      </c>
      <c r="G25" s="111">
        <v>31</v>
      </c>
      <c r="H25" s="111">
        <v>34</v>
      </c>
      <c r="I25" s="111">
        <v>30</v>
      </c>
      <c r="J25" s="111">
        <v>31</v>
      </c>
      <c r="K25" s="111">
        <v>30</v>
      </c>
      <c r="L25" s="111">
        <v>29</v>
      </c>
    </row>
    <row r="26" spans="1:12" s="40" customFormat="1" ht="14.25">
      <c r="A26" s="181" t="s">
        <v>357</v>
      </c>
      <c r="B26" s="13">
        <f>SUM(C26:L26)/10</f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</row>
    <row r="27" spans="1:12" s="40" customFormat="1" ht="14.25">
      <c r="A27" s="184" t="s">
        <v>358</v>
      </c>
      <c r="B27" s="13">
        <v>30</v>
      </c>
      <c r="C27" s="13">
        <v>0</v>
      </c>
      <c r="D27" s="13">
        <v>28</v>
      </c>
      <c r="E27" s="13">
        <v>29</v>
      </c>
      <c r="F27" s="13">
        <v>34</v>
      </c>
      <c r="G27" s="13">
        <v>30</v>
      </c>
      <c r="H27" s="13">
        <v>30</v>
      </c>
      <c r="I27" s="111">
        <v>32</v>
      </c>
      <c r="J27" s="111">
        <v>30</v>
      </c>
      <c r="K27" s="111">
        <v>33</v>
      </c>
      <c r="L27" s="111">
        <v>29</v>
      </c>
    </row>
    <row r="28" spans="1:12" s="40" customFormat="1" ht="14.25">
      <c r="A28" s="181" t="s">
        <v>359</v>
      </c>
      <c r="B28" s="13">
        <f>SUM(C28:L28)/10</f>
        <v>31</v>
      </c>
      <c r="C28" s="13">
        <v>31</v>
      </c>
      <c r="D28" s="13">
        <v>32</v>
      </c>
      <c r="E28" s="111">
        <v>28</v>
      </c>
      <c r="F28" s="13">
        <v>33</v>
      </c>
      <c r="G28" s="111">
        <v>32</v>
      </c>
      <c r="H28" s="111">
        <v>31</v>
      </c>
      <c r="I28" s="111">
        <v>31</v>
      </c>
      <c r="J28" s="111">
        <v>31</v>
      </c>
      <c r="K28" s="111">
        <v>30</v>
      </c>
      <c r="L28" s="111">
        <v>31</v>
      </c>
    </row>
    <row r="29" spans="1:12" s="40" customFormat="1" ht="35.25">
      <c r="A29" s="183" t="s">
        <v>360</v>
      </c>
      <c r="B29" s="13">
        <f>SUM(C29:L29)/8</f>
        <v>33.375</v>
      </c>
      <c r="C29" s="13">
        <v>0</v>
      </c>
      <c r="D29" s="13">
        <v>38</v>
      </c>
      <c r="E29" s="13">
        <v>31</v>
      </c>
      <c r="F29" s="111">
        <v>30</v>
      </c>
      <c r="G29" s="111">
        <v>38</v>
      </c>
      <c r="H29" s="111">
        <v>32</v>
      </c>
      <c r="I29" s="111">
        <v>31</v>
      </c>
      <c r="J29" s="111">
        <v>31</v>
      </c>
      <c r="K29" s="111">
        <v>36</v>
      </c>
      <c r="L29" s="111">
        <v>0</v>
      </c>
    </row>
    <row r="30" spans="1:12" s="40" customFormat="1" ht="14.25">
      <c r="A30" s="183" t="s">
        <v>382</v>
      </c>
      <c r="B30" s="13">
        <v>31</v>
      </c>
      <c r="C30" s="13">
        <v>31</v>
      </c>
      <c r="D30" s="13">
        <v>0</v>
      </c>
      <c r="E30" s="13">
        <v>0</v>
      </c>
      <c r="F30" s="13">
        <v>31</v>
      </c>
      <c r="G30" s="111">
        <v>27</v>
      </c>
      <c r="H30" s="111">
        <v>29</v>
      </c>
      <c r="I30" s="111">
        <v>0</v>
      </c>
      <c r="J30" s="111">
        <v>30</v>
      </c>
      <c r="K30" s="111">
        <v>0</v>
      </c>
      <c r="L30" s="111">
        <v>33</v>
      </c>
    </row>
    <row r="31" spans="1:13" s="40" customFormat="1" ht="14.25">
      <c r="A31" s="185" t="s">
        <v>893</v>
      </c>
      <c r="B31" s="116">
        <f>SUM(C31:L31)/9</f>
        <v>33.77777777777778</v>
      </c>
      <c r="C31" s="13">
        <v>33</v>
      </c>
      <c r="D31" s="13">
        <v>29</v>
      </c>
      <c r="E31" s="13">
        <v>30</v>
      </c>
      <c r="F31" s="13">
        <v>31</v>
      </c>
      <c r="G31" s="111">
        <v>30</v>
      </c>
      <c r="H31" s="111">
        <v>29</v>
      </c>
      <c r="I31" s="111">
        <v>30</v>
      </c>
      <c r="J31" s="111">
        <v>30</v>
      </c>
      <c r="K31" s="111">
        <v>31</v>
      </c>
      <c r="L31" s="111">
        <v>31</v>
      </c>
      <c r="M31" s="78"/>
    </row>
    <row r="32" spans="1:13" s="40" customFormat="1" ht="14.25">
      <c r="A32" s="183" t="s">
        <v>894</v>
      </c>
      <c r="B32" s="13">
        <v>30</v>
      </c>
      <c r="C32" s="13">
        <v>34</v>
      </c>
      <c r="D32" s="111">
        <v>34</v>
      </c>
      <c r="E32" s="111">
        <v>34</v>
      </c>
      <c r="F32" s="111">
        <v>34</v>
      </c>
      <c r="G32" s="111">
        <v>33</v>
      </c>
      <c r="H32" s="13">
        <v>33</v>
      </c>
      <c r="I32" s="111">
        <v>34</v>
      </c>
      <c r="J32" s="111">
        <v>35</v>
      </c>
      <c r="K32" s="111">
        <v>34</v>
      </c>
      <c r="L32" s="111">
        <v>34</v>
      </c>
      <c r="M32" s="78"/>
    </row>
    <row r="33" spans="1:13" s="40" customFormat="1" ht="23.25">
      <c r="A33" s="183" t="s">
        <v>361</v>
      </c>
      <c r="B33" s="13">
        <f>SUM(C33:L33)/2</f>
        <v>15</v>
      </c>
      <c r="C33" s="13">
        <v>30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11">
        <v>0</v>
      </c>
      <c r="M33" s="87"/>
    </row>
    <row r="34" spans="1:13" s="40" customFormat="1" ht="24">
      <c r="A34" s="347" t="s">
        <v>365</v>
      </c>
      <c r="B34" s="48">
        <f>SUM(C34:L34)/3</f>
        <v>30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32</v>
      </c>
      <c r="J34" s="48">
        <v>30</v>
      </c>
      <c r="K34" s="48">
        <v>28</v>
      </c>
      <c r="L34" s="48">
        <v>0</v>
      </c>
      <c r="M34" s="87"/>
    </row>
    <row r="36" spans="1:12" s="40" customFormat="1" ht="21.75" customHeight="1">
      <c r="A36" s="457" t="s">
        <v>898</v>
      </c>
      <c r="B36" s="457"/>
      <c r="C36" s="457"/>
      <c r="D36" s="457"/>
      <c r="E36" s="457"/>
      <c r="F36" s="457" t="s">
        <v>962</v>
      </c>
      <c r="G36" s="457"/>
      <c r="H36" s="457"/>
      <c r="I36" s="457"/>
      <c r="J36" s="457"/>
      <c r="K36" s="457"/>
      <c r="L36" s="457"/>
    </row>
    <row r="42" spans="1:12" ht="15.75">
      <c r="A42" s="458" t="str">
        <f>"- "&amp;Sheet1!B30&amp;" -"</f>
        <v>- 180 -</v>
      </c>
      <c r="B42" s="458"/>
      <c r="C42" s="458"/>
      <c r="D42" s="458"/>
      <c r="E42" s="458"/>
      <c r="F42" s="458" t="str">
        <f>"- "&amp;Sheet1!C30&amp;" -"</f>
        <v>- 181 -</v>
      </c>
      <c r="G42" s="458"/>
      <c r="H42" s="458"/>
      <c r="I42" s="458"/>
      <c r="J42" s="458"/>
      <c r="K42" s="458"/>
      <c r="L42" s="458"/>
    </row>
    <row r="44" ht="15.75">
      <c r="A44" s="328"/>
    </row>
  </sheetData>
  <sheetProtection/>
  <mergeCells count="8">
    <mergeCell ref="F1:L1"/>
    <mergeCell ref="A1:E1"/>
    <mergeCell ref="A3:D3"/>
    <mergeCell ref="G3:K3"/>
    <mergeCell ref="A42:E42"/>
    <mergeCell ref="F42:L42"/>
    <mergeCell ref="A36:E36"/>
    <mergeCell ref="F36:L36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4"/>
  <sheetViews>
    <sheetView view="pageLayout" zoomScaleNormal="75" zoomScaleSheetLayoutView="85" workbookViewId="0" topLeftCell="B25">
      <selection activeCell="F42" sqref="F42:L42"/>
    </sheetView>
  </sheetViews>
  <sheetFormatPr defaultColWidth="9.00390625" defaultRowHeight="16.5"/>
  <cols>
    <col min="1" max="1" width="43.625" style="79" customWidth="1"/>
    <col min="2" max="2" width="11.125" style="79" customWidth="1"/>
    <col min="3" max="4" width="11.125" style="83" customWidth="1"/>
    <col min="5" max="5" width="11.125" style="79" customWidth="1"/>
    <col min="6" max="12" width="12.625" style="79" customWidth="1"/>
    <col min="13" max="16384" width="9.00390625" style="79" customWidth="1"/>
  </cols>
  <sheetData>
    <row r="1" spans="1:12" s="80" customFormat="1" ht="21.75" customHeight="1">
      <c r="A1" s="459" t="s">
        <v>209</v>
      </c>
      <c r="B1" s="459"/>
      <c r="C1" s="459"/>
      <c r="D1" s="459"/>
      <c r="E1" s="459"/>
      <c r="F1" s="459" t="s">
        <v>47</v>
      </c>
      <c r="G1" s="459"/>
      <c r="H1" s="459"/>
      <c r="I1" s="459"/>
      <c r="J1" s="459"/>
      <c r="K1" s="459"/>
      <c r="L1" s="459"/>
    </row>
    <row r="2" spans="1:10" s="11" customFormat="1" ht="3.75" customHeight="1">
      <c r="A2" s="160"/>
      <c r="B2" s="160"/>
      <c r="C2" s="231"/>
      <c r="D2" s="160"/>
      <c r="E2" s="160"/>
      <c r="F2" s="160"/>
      <c r="G2" s="160"/>
      <c r="H2" s="160"/>
      <c r="I2" s="160"/>
      <c r="J2" s="160"/>
    </row>
    <row r="3" spans="1:12" s="75" customFormat="1" ht="15" customHeight="1">
      <c r="A3" s="460" t="s">
        <v>831</v>
      </c>
      <c r="B3" s="461"/>
      <c r="C3" s="461"/>
      <c r="D3" s="461"/>
      <c r="E3" s="4" t="s">
        <v>899</v>
      </c>
      <c r="F3" s="21"/>
      <c r="G3" s="484" t="s">
        <v>832</v>
      </c>
      <c r="H3" s="484"/>
      <c r="I3" s="484"/>
      <c r="J3" s="484"/>
      <c r="K3" s="484"/>
      <c r="L3" s="67" t="s">
        <v>451</v>
      </c>
    </row>
    <row r="4" spans="1:12" ht="5.25" customHeight="1">
      <c r="A4" s="11"/>
      <c r="B4" s="34"/>
      <c r="C4" s="126"/>
      <c r="D4" s="126"/>
      <c r="E4" s="156"/>
      <c r="F4" s="112"/>
      <c r="G4" s="34"/>
      <c r="H4" s="34"/>
      <c r="I4" s="11"/>
      <c r="J4" s="11"/>
      <c r="K4" s="11"/>
      <c r="L4" s="11"/>
    </row>
    <row r="5" spans="1:12" s="40" customFormat="1" ht="28.5" customHeight="1">
      <c r="A5" s="125" t="s">
        <v>958</v>
      </c>
      <c r="B5" s="157" t="s">
        <v>158</v>
      </c>
      <c r="C5" s="157" t="s">
        <v>487</v>
      </c>
      <c r="D5" s="157" t="s">
        <v>478</v>
      </c>
      <c r="E5" s="157" t="s">
        <v>479</v>
      </c>
      <c r="F5" s="157" t="s">
        <v>480</v>
      </c>
      <c r="G5" s="125" t="s">
        <v>481</v>
      </c>
      <c r="H5" s="158" t="s">
        <v>482</v>
      </c>
      <c r="I5" s="158" t="s">
        <v>483</v>
      </c>
      <c r="J5" s="158" t="s">
        <v>484</v>
      </c>
      <c r="K5" s="158" t="s">
        <v>485</v>
      </c>
      <c r="L5" s="158" t="s">
        <v>486</v>
      </c>
    </row>
    <row r="6" spans="1:10" s="11" customFormat="1" ht="3.75" customHeight="1">
      <c r="A6" s="160"/>
      <c r="B6" s="159"/>
      <c r="C6" s="231"/>
      <c r="D6" s="160"/>
      <c r="E6" s="160"/>
      <c r="F6" s="160"/>
      <c r="G6" s="160"/>
      <c r="H6" s="160"/>
      <c r="I6" s="160"/>
      <c r="J6" s="160"/>
    </row>
    <row r="7" spans="1:13" s="40" customFormat="1" ht="23.25">
      <c r="A7" s="183" t="s">
        <v>366</v>
      </c>
      <c r="B7" s="116">
        <v>32</v>
      </c>
      <c r="C7" s="13">
        <v>31</v>
      </c>
      <c r="D7" s="111">
        <v>30</v>
      </c>
      <c r="E7" s="13">
        <v>0</v>
      </c>
      <c r="F7" s="13">
        <v>27</v>
      </c>
      <c r="G7" s="111">
        <v>0</v>
      </c>
      <c r="H7" s="111">
        <v>0</v>
      </c>
      <c r="I7" s="111">
        <v>32</v>
      </c>
      <c r="J7" s="111">
        <v>33</v>
      </c>
      <c r="K7" s="111">
        <v>31</v>
      </c>
      <c r="L7" s="111">
        <v>32</v>
      </c>
      <c r="M7" s="78"/>
    </row>
    <row r="8" spans="1:13" s="40" customFormat="1" ht="14.25">
      <c r="A8" s="181" t="s">
        <v>895</v>
      </c>
      <c r="B8" s="116">
        <v>31</v>
      </c>
      <c r="C8" s="13">
        <v>0</v>
      </c>
      <c r="D8" s="13">
        <v>31</v>
      </c>
      <c r="E8" s="13">
        <v>0</v>
      </c>
      <c r="F8" s="13">
        <v>35</v>
      </c>
      <c r="G8" s="13">
        <v>27</v>
      </c>
      <c r="H8" s="13">
        <v>33</v>
      </c>
      <c r="I8" s="13">
        <v>34</v>
      </c>
      <c r="J8" s="13">
        <v>36</v>
      </c>
      <c r="K8" s="111">
        <v>34</v>
      </c>
      <c r="L8" s="111">
        <v>34</v>
      </c>
      <c r="M8" s="78"/>
    </row>
    <row r="9" spans="1:13" s="40" customFormat="1" ht="14.25">
      <c r="A9" s="183" t="s">
        <v>896</v>
      </c>
      <c r="B9" s="116">
        <v>29</v>
      </c>
      <c r="C9" s="13">
        <v>0</v>
      </c>
      <c r="D9" s="13">
        <v>0</v>
      </c>
      <c r="E9" s="13">
        <v>29</v>
      </c>
      <c r="F9" s="13">
        <v>29</v>
      </c>
      <c r="G9" s="13">
        <v>31</v>
      </c>
      <c r="H9" s="13">
        <v>29</v>
      </c>
      <c r="I9" s="13">
        <v>0</v>
      </c>
      <c r="J9" s="13">
        <v>0</v>
      </c>
      <c r="K9" s="13">
        <v>0</v>
      </c>
      <c r="L9" s="13">
        <v>0</v>
      </c>
      <c r="M9" s="78"/>
    </row>
    <row r="10" spans="1:13" s="40" customFormat="1" ht="23.25">
      <c r="A10" s="183" t="s">
        <v>367</v>
      </c>
      <c r="B10" s="116">
        <v>31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33</v>
      </c>
      <c r="I10" s="13">
        <v>30</v>
      </c>
      <c r="J10" s="13">
        <v>0</v>
      </c>
      <c r="K10" s="13">
        <v>0</v>
      </c>
      <c r="L10" s="13">
        <v>0</v>
      </c>
      <c r="M10" s="78"/>
    </row>
    <row r="11" spans="1:13" s="40" customFormat="1" ht="24">
      <c r="A11" s="179" t="s">
        <v>383</v>
      </c>
      <c r="B11" s="116">
        <v>39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39</v>
      </c>
      <c r="I11" s="13">
        <v>30</v>
      </c>
      <c r="J11" s="13">
        <v>0</v>
      </c>
      <c r="K11" s="13">
        <v>27</v>
      </c>
      <c r="L11" s="13">
        <v>0</v>
      </c>
      <c r="M11" s="78"/>
    </row>
    <row r="12" spans="1:13" s="40" customFormat="1" ht="39.75">
      <c r="A12" s="223" t="s">
        <v>777</v>
      </c>
      <c r="B12" s="116">
        <v>31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31</v>
      </c>
      <c r="L12" s="13">
        <v>27</v>
      </c>
      <c r="M12" s="78"/>
    </row>
    <row r="13" spans="1:13" s="40" customFormat="1" ht="14.25">
      <c r="A13" s="179"/>
      <c r="B13" s="11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8"/>
    </row>
    <row r="14" spans="1:12" s="40" customFormat="1" ht="14.25">
      <c r="A14" s="186" t="s">
        <v>903</v>
      </c>
      <c r="B14" s="267">
        <v>43</v>
      </c>
      <c r="C14" s="110">
        <v>42</v>
      </c>
      <c r="D14" s="110">
        <v>42</v>
      </c>
      <c r="E14" s="110">
        <v>41</v>
      </c>
      <c r="F14" s="110">
        <v>41</v>
      </c>
      <c r="G14" s="110">
        <v>42</v>
      </c>
      <c r="H14" s="110">
        <v>42</v>
      </c>
      <c r="I14" s="110">
        <v>45</v>
      </c>
      <c r="J14" s="110">
        <v>45</v>
      </c>
      <c r="K14" s="110">
        <v>44</v>
      </c>
      <c r="L14" s="110">
        <v>44</v>
      </c>
    </row>
    <row r="15" spans="1:12" s="42" customFormat="1" ht="23.25">
      <c r="A15" s="183" t="s">
        <v>368</v>
      </c>
      <c r="B15" s="116">
        <f>SUM(C15:L15)/9</f>
        <v>45</v>
      </c>
      <c r="C15" s="13">
        <v>0</v>
      </c>
      <c r="D15" s="13">
        <v>44</v>
      </c>
      <c r="E15" s="13">
        <v>44</v>
      </c>
      <c r="F15" s="13">
        <v>45</v>
      </c>
      <c r="G15" s="13">
        <v>45</v>
      </c>
      <c r="H15" s="13">
        <v>45</v>
      </c>
      <c r="I15" s="13">
        <v>45</v>
      </c>
      <c r="J15" s="13">
        <v>46</v>
      </c>
      <c r="K15" s="13">
        <v>46</v>
      </c>
      <c r="L15" s="13">
        <v>45</v>
      </c>
    </row>
    <row r="16" spans="1:18" s="40" customFormat="1" ht="36">
      <c r="A16" s="183" t="s">
        <v>369</v>
      </c>
      <c r="B16" s="116">
        <f>SUM(C16:L16)/10</f>
        <v>44.2</v>
      </c>
      <c r="C16" s="10">
        <v>44</v>
      </c>
      <c r="D16" s="10">
        <v>43</v>
      </c>
      <c r="E16" s="10">
        <v>43</v>
      </c>
      <c r="F16" s="10">
        <v>43</v>
      </c>
      <c r="G16" s="10">
        <v>44</v>
      </c>
      <c r="H16" s="12">
        <v>44</v>
      </c>
      <c r="I16" s="12">
        <v>45</v>
      </c>
      <c r="J16" s="12">
        <v>45</v>
      </c>
      <c r="K16" s="12">
        <v>45</v>
      </c>
      <c r="L16" s="12">
        <v>46</v>
      </c>
      <c r="M16" s="42"/>
      <c r="N16" s="42"/>
      <c r="O16" s="42"/>
      <c r="P16" s="42"/>
      <c r="Q16" s="42"/>
      <c r="R16" s="42"/>
    </row>
    <row r="17" spans="1:12" s="40" customFormat="1" ht="35.25">
      <c r="A17" s="183" t="s">
        <v>370</v>
      </c>
      <c r="B17" s="116">
        <f>SUM(C17:L17)/10</f>
        <v>38.3</v>
      </c>
      <c r="C17" s="13">
        <v>40</v>
      </c>
      <c r="D17" s="13">
        <v>38</v>
      </c>
      <c r="E17" s="13">
        <v>37</v>
      </c>
      <c r="F17" s="13">
        <v>37</v>
      </c>
      <c r="G17" s="13">
        <v>37</v>
      </c>
      <c r="H17" s="111">
        <v>37</v>
      </c>
      <c r="I17" s="111">
        <v>39</v>
      </c>
      <c r="J17" s="111">
        <v>39</v>
      </c>
      <c r="K17" s="111">
        <v>39</v>
      </c>
      <c r="L17" s="111">
        <v>40</v>
      </c>
    </row>
    <row r="18" spans="1:12" s="40" customFormat="1" ht="35.25">
      <c r="A18" s="183" t="s">
        <v>371</v>
      </c>
      <c r="B18" s="116">
        <v>52</v>
      </c>
      <c r="C18" s="13">
        <v>51</v>
      </c>
      <c r="D18" s="13">
        <v>51</v>
      </c>
      <c r="E18" s="13">
        <v>50</v>
      </c>
      <c r="F18" s="13">
        <v>52</v>
      </c>
      <c r="G18" s="13">
        <v>54</v>
      </c>
      <c r="H18" s="111">
        <v>54</v>
      </c>
      <c r="I18" s="111">
        <v>54</v>
      </c>
      <c r="J18" s="111">
        <v>53</v>
      </c>
      <c r="K18" s="111">
        <v>53</v>
      </c>
      <c r="L18" s="111">
        <v>54</v>
      </c>
    </row>
    <row r="19" spans="1:12" s="40" customFormat="1" ht="23.25">
      <c r="A19" s="183" t="s">
        <v>781</v>
      </c>
      <c r="B19" s="116">
        <f>SUM(C19:L19)/4</f>
        <v>48.5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11">
        <v>50</v>
      </c>
      <c r="J19" s="111">
        <v>49</v>
      </c>
      <c r="K19" s="111">
        <v>47</v>
      </c>
      <c r="L19" s="111">
        <v>48</v>
      </c>
    </row>
    <row r="20" spans="1:12" s="40" customFormat="1" ht="14.25">
      <c r="A20" s="221"/>
      <c r="B20" s="116"/>
      <c r="C20" s="10"/>
      <c r="D20" s="10"/>
      <c r="E20" s="10"/>
      <c r="F20" s="10"/>
      <c r="G20" s="10"/>
      <c r="H20" s="12"/>
      <c r="I20" s="12"/>
      <c r="J20" s="12"/>
      <c r="K20" s="12"/>
      <c r="L20" s="111"/>
    </row>
    <row r="21" spans="1:12" s="42" customFormat="1" ht="14.25">
      <c r="A21" s="186" t="s">
        <v>897</v>
      </c>
      <c r="B21" s="267">
        <v>42</v>
      </c>
      <c r="C21" s="110">
        <v>38</v>
      </c>
      <c r="D21" s="110">
        <v>42</v>
      </c>
      <c r="E21" s="110">
        <v>37</v>
      </c>
      <c r="F21" s="110">
        <v>41</v>
      </c>
      <c r="G21" s="110">
        <v>42</v>
      </c>
      <c r="H21" s="110">
        <v>42</v>
      </c>
      <c r="I21" s="110">
        <v>42</v>
      </c>
      <c r="J21" s="110">
        <v>42</v>
      </c>
      <c r="K21" s="110">
        <v>42</v>
      </c>
      <c r="L21" s="110">
        <v>43</v>
      </c>
    </row>
    <row r="22" spans="1:12" s="40" customFormat="1" ht="14.25">
      <c r="A22" s="183" t="s">
        <v>372</v>
      </c>
      <c r="B22" s="116">
        <f>SUM(C22:L22)/8</f>
        <v>47.375</v>
      </c>
      <c r="C22" s="10">
        <v>0</v>
      </c>
      <c r="D22" s="10">
        <v>45</v>
      </c>
      <c r="E22" s="10">
        <v>0</v>
      </c>
      <c r="F22" s="10">
        <v>48</v>
      </c>
      <c r="G22" s="10">
        <v>45</v>
      </c>
      <c r="H22" s="12">
        <v>48</v>
      </c>
      <c r="I22" s="12">
        <v>50</v>
      </c>
      <c r="J22" s="12">
        <v>46</v>
      </c>
      <c r="K22" s="12">
        <v>50</v>
      </c>
      <c r="L22" s="12">
        <v>47</v>
      </c>
    </row>
    <row r="23" spans="1:12" s="40" customFormat="1" ht="36">
      <c r="A23" s="183" t="s">
        <v>373</v>
      </c>
      <c r="B23" s="116">
        <f>SUM(C23:L23)/10</f>
        <v>39.8</v>
      </c>
      <c r="C23" s="13">
        <v>38</v>
      </c>
      <c r="D23" s="13">
        <v>39</v>
      </c>
      <c r="E23" s="13">
        <v>37</v>
      </c>
      <c r="F23" s="13">
        <v>39</v>
      </c>
      <c r="G23" s="13">
        <v>42</v>
      </c>
      <c r="H23" s="111">
        <v>40</v>
      </c>
      <c r="I23" s="111">
        <v>40</v>
      </c>
      <c r="J23" s="111">
        <v>41</v>
      </c>
      <c r="K23" s="111">
        <v>41</v>
      </c>
      <c r="L23" s="111">
        <v>41</v>
      </c>
    </row>
    <row r="24" spans="1:12" s="40" customFormat="1" ht="24">
      <c r="A24" s="183" t="s">
        <v>374</v>
      </c>
      <c r="B24" s="116">
        <f>SUM(C24:L24)/7</f>
        <v>41.714285714285715</v>
      </c>
      <c r="C24" s="13">
        <v>0</v>
      </c>
      <c r="D24" s="13">
        <v>0</v>
      </c>
      <c r="E24" s="13">
        <v>0</v>
      </c>
      <c r="F24" s="13">
        <v>42</v>
      </c>
      <c r="G24" s="13">
        <v>40</v>
      </c>
      <c r="H24" s="111">
        <v>43</v>
      </c>
      <c r="I24" s="111">
        <v>39</v>
      </c>
      <c r="J24" s="111">
        <v>43</v>
      </c>
      <c r="K24" s="111">
        <v>42</v>
      </c>
      <c r="L24" s="111">
        <v>43</v>
      </c>
    </row>
    <row r="25" spans="1:12" s="40" customFormat="1" ht="14.25">
      <c r="A25" s="221"/>
      <c r="B25" s="116"/>
      <c r="C25" s="13"/>
      <c r="D25" s="13"/>
      <c r="E25" s="13"/>
      <c r="F25" s="13"/>
      <c r="G25" s="13"/>
      <c r="H25" s="111"/>
      <c r="I25" s="111"/>
      <c r="J25" s="111"/>
      <c r="K25" s="111"/>
      <c r="L25" s="111"/>
    </row>
    <row r="26" spans="1:12" s="42" customFormat="1" ht="41.25" customHeight="1">
      <c r="A26" s="244" t="s">
        <v>775</v>
      </c>
      <c r="B26" s="267">
        <v>51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52</v>
      </c>
      <c r="L26" s="110">
        <v>51</v>
      </c>
    </row>
    <row r="27" spans="1:12" s="40" customFormat="1" ht="14.25">
      <c r="A27" s="183"/>
      <c r="B27" s="116"/>
      <c r="C27" s="10"/>
      <c r="D27" s="10"/>
      <c r="E27" s="10"/>
      <c r="F27" s="10"/>
      <c r="G27" s="10"/>
      <c r="H27" s="111"/>
      <c r="I27" s="111"/>
      <c r="J27" s="111"/>
      <c r="K27" s="111"/>
      <c r="L27" s="111"/>
    </row>
    <row r="28" spans="1:12" s="40" customFormat="1" ht="14.25">
      <c r="A28" s="186" t="s">
        <v>776</v>
      </c>
      <c r="B28" s="267">
        <f>SUM(C28:L28)/10</f>
        <v>44.6</v>
      </c>
      <c r="C28" s="110">
        <v>43</v>
      </c>
      <c r="D28" s="110">
        <v>44</v>
      </c>
      <c r="E28" s="110">
        <v>44</v>
      </c>
      <c r="F28" s="110">
        <v>45</v>
      </c>
      <c r="G28" s="110">
        <v>45</v>
      </c>
      <c r="H28" s="110">
        <v>44</v>
      </c>
      <c r="I28" s="110">
        <v>46</v>
      </c>
      <c r="J28" s="110">
        <v>45</v>
      </c>
      <c r="K28" s="110">
        <v>44</v>
      </c>
      <c r="L28" s="110">
        <v>46</v>
      </c>
    </row>
    <row r="29" spans="1:12" s="40" customFormat="1" ht="14.25">
      <c r="A29" s="183" t="s">
        <v>375</v>
      </c>
      <c r="B29" s="116">
        <f>SUM(C29:L29)/7</f>
        <v>52.57142857142857</v>
      </c>
      <c r="C29" s="10">
        <v>53</v>
      </c>
      <c r="D29" s="10">
        <v>53</v>
      </c>
      <c r="E29" s="10">
        <v>53</v>
      </c>
      <c r="F29" s="10">
        <v>52</v>
      </c>
      <c r="G29" s="10">
        <v>52</v>
      </c>
      <c r="H29" s="111">
        <v>51</v>
      </c>
      <c r="I29" s="111">
        <v>54</v>
      </c>
      <c r="J29" s="111">
        <v>0</v>
      </c>
      <c r="K29" s="111">
        <v>0</v>
      </c>
      <c r="L29" s="111">
        <v>0</v>
      </c>
    </row>
    <row r="30" spans="1:12" s="40" customFormat="1" ht="14.25">
      <c r="A30" s="183" t="s">
        <v>376</v>
      </c>
      <c r="B30" s="116">
        <f>SUM(C30:L30)/9</f>
        <v>48.22222222222222</v>
      </c>
      <c r="C30" s="13">
        <v>48</v>
      </c>
      <c r="D30" s="13">
        <v>48</v>
      </c>
      <c r="E30" s="13">
        <v>48</v>
      </c>
      <c r="F30" s="13">
        <v>48</v>
      </c>
      <c r="G30" s="13">
        <v>48</v>
      </c>
      <c r="H30" s="111">
        <v>48</v>
      </c>
      <c r="I30" s="111">
        <v>49</v>
      </c>
      <c r="J30" s="111">
        <v>0</v>
      </c>
      <c r="K30" s="111">
        <v>48</v>
      </c>
      <c r="L30" s="111">
        <v>49</v>
      </c>
    </row>
    <row r="31" spans="1:12" s="40" customFormat="1" ht="24">
      <c r="A31" s="183" t="s">
        <v>377</v>
      </c>
      <c r="B31" s="116">
        <f>SUM(C31:L31)/10</f>
        <v>41.2</v>
      </c>
      <c r="C31" s="13">
        <v>40</v>
      </c>
      <c r="D31" s="13">
        <v>41</v>
      </c>
      <c r="E31" s="13">
        <v>40</v>
      </c>
      <c r="F31" s="13">
        <v>40</v>
      </c>
      <c r="G31" s="13">
        <v>40</v>
      </c>
      <c r="H31" s="111">
        <v>40</v>
      </c>
      <c r="I31" s="111">
        <v>41</v>
      </c>
      <c r="J31" s="111">
        <v>42</v>
      </c>
      <c r="K31" s="111">
        <v>42</v>
      </c>
      <c r="L31" s="111">
        <v>46</v>
      </c>
    </row>
    <row r="32" spans="1:12" s="40" customFormat="1" ht="24">
      <c r="A32" s="183" t="s">
        <v>378</v>
      </c>
      <c r="B32" s="116">
        <v>41</v>
      </c>
      <c r="C32" s="13">
        <v>41</v>
      </c>
      <c r="D32" s="13">
        <v>41</v>
      </c>
      <c r="E32" s="13">
        <v>41</v>
      </c>
      <c r="F32" s="13">
        <v>42</v>
      </c>
      <c r="G32" s="13">
        <v>41</v>
      </c>
      <c r="H32" s="111">
        <v>39</v>
      </c>
      <c r="I32" s="111">
        <v>41</v>
      </c>
      <c r="J32" s="111">
        <v>41</v>
      </c>
      <c r="K32" s="111">
        <v>38</v>
      </c>
      <c r="L32" s="111">
        <v>39</v>
      </c>
    </row>
    <row r="33" spans="1:12" s="40" customFormat="1" ht="36">
      <c r="A33" s="183" t="s">
        <v>379</v>
      </c>
      <c r="B33" s="116">
        <f>SUM(C33:L33)/10</f>
        <v>45.2</v>
      </c>
      <c r="C33" s="13">
        <v>43</v>
      </c>
      <c r="D33" s="13">
        <v>45</v>
      </c>
      <c r="E33" s="13">
        <v>48</v>
      </c>
      <c r="F33" s="13">
        <v>45</v>
      </c>
      <c r="G33" s="111">
        <v>46</v>
      </c>
      <c r="H33" s="111">
        <v>44</v>
      </c>
      <c r="I33" s="111">
        <v>44</v>
      </c>
      <c r="J33" s="111">
        <v>46</v>
      </c>
      <c r="K33" s="111">
        <v>45</v>
      </c>
      <c r="L33" s="111">
        <v>46</v>
      </c>
    </row>
    <row r="34" spans="1:12" s="40" customFormat="1" ht="3.75" customHeight="1">
      <c r="A34" s="187"/>
      <c r="B34" s="188"/>
      <c r="C34" s="188"/>
      <c r="D34" s="188"/>
      <c r="E34" s="188"/>
      <c r="F34" s="188"/>
      <c r="G34" s="188"/>
      <c r="H34" s="188"/>
      <c r="I34" s="188"/>
      <c r="J34" s="32"/>
      <c r="K34" s="32"/>
      <c r="L34" s="29"/>
    </row>
    <row r="42" spans="1:12" ht="15.75">
      <c r="A42" s="458" t="str">
        <f>"- "&amp;Sheet1!D30&amp;" -"</f>
        <v>- 182 -</v>
      </c>
      <c r="B42" s="458"/>
      <c r="C42" s="458"/>
      <c r="D42" s="458"/>
      <c r="E42" s="458"/>
      <c r="F42" s="458" t="str">
        <f>"- "&amp;Sheet1!E30&amp;" -"</f>
        <v>- 183 -</v>
      </c>
      <c r="G42" s="458"/>
      <c r="H42" s="458"/>
      <c r="I42" s="458"/>
      <c r="J42" s="458"/>
      <c r="K42" s="458"/>
      <c r="L42" s="458"/>
    </row>
    <row r="44" ht="15.75">
      <c r="A44" s="328"/>
    </row>
  </sheetData>
  <sheetProtection/>
  <mergeCells count="6">
    <mergeCell ref="A42:E42"/>
    <mergeCell ref="F42:L42"/>
    <mergeCell ref="A1:E1"/>
    <mergeCell ref="F1:L1"/>
    <mergeCell ref="A3:D3"/>
    <mergeCell ref="G3:K3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4"/>
  <sheetViews>
    <sheetView view="pageLayout" zoomScale="85" zoomScaleNormal="85" zoomScaleSheetLayoutView="85" zoomScalePageLayoutView="85" workbookViewId="0" topLeftCell="A21">
      <selection activeCell="A42" sqref="A42:D42"/>
    </sheetView>
  </sheetViews>
  <sheetFormatPr defaultColWidth="9.00390625" defaultRowHeight="16.5"/>
  <cols>
    <col min="1" max="1" width="40.125" style="79" customWidth="1"/>
    <col min="2" max="2" width="14.50390625" style="79" customWidth="1"/>
    <col min="3" max="3" width="15.125" style="79" customWidth="1"/>
    <col min="4" max="4" width="13.625" style="79" customWidth="1"/>
    <col min="5" max="5" width="12.625" style="79" customWidth="1"/>
    <col min="6" max="6" width="11.625" style="79" customWidth="1"/>
    <col min="7" max="7" width="11.75390625" style="79" customWidth="1"/>
    <col min="8" max="8" width="11.875" style="79" customWidth="1"/>
    <col min="9" max="9" width="12.25390625" style="79" customWidth="1"/>
    <col min="10" max="10" width="11.75390625" style="79" customWidth="1"/>
    <col min="11" max="11" width="13.375" style="79" customWidth="1"/>
    <col min="12" max="16384" width="9.00390625" style="79" customWidth="1"/>
  </cols>
  <sheetData>
    <row r="1" spans="1:11" s="80" customFormat="1" ht="19.5">
      <c r="A1" s="190" t="s">
        <v>904</v>
      </c>
      <c r="B1" s="191" t="s">
        <v>905</v>
      </c>
      <c r="C1" s="20"/>
      <c r="D1" s="20"/>
      <c r="E1" s="483" t="s">
        <v>205</v>
      </c>
      <c r="F1" s="483"/>
      <c r="G1" s="483"/>
      <c r="H1" s="483"/>
      <c r="I1" s="483"/>
      <c r="J1" s="483"/>
      <c r="K1" s="483"/>
    </row>
    <row r="2" spans="1:11" ht="5.25" customHeight="1">
      <c r="A2" s="11"/>
      <c r="B2" s="34"/>
      <c r="C2" s="11"/>
      <c r="D2" s="156"/>
      <c r="E2" s="112"/>
      <c r="F2" s="34"/>
      <c r="G2" s="11"/>
      <c r="H2" s="11"/>
      <c r="I2" s="11"/>
      <c r="J2" s="11"/>
      <c r="K2" s="11"/>
    </row>
    <row r="3" spans="1:11" s="75" customFormat="1" ht="16.5" customHeight="1">
      <c r="A3" s="460" t="s">
        <v>488</v>
      </c>
      <c r="B3" s="461"/>
      <c r="C3" s="461"/>
      <c r="D3" s="67" t="s">
        <v>815</v>
      </c>
      <c r="E3" s="21"/>
      <c r="F3" s="461" t="s">
        <v>157</v>
      </c>
      <c r="G3" s="461"/>
      <c r="H3" s="461"/>
      <c r="I3" s="461"/>
      <c r="J3" s="461"/>
      <c r="K3" s="67" t="s">
        <v>447</v>
      </c>
    </row>
    <row r="4" spans="1:11" ht="2.25" customHeight="1">
      <c r="A4" s="11"/>
      <c r="B4" s="34"/>
      <c r="C4" s="11"/>
      <c r="D4" s="156"/>
      <c r="E4" s="112"/>
      <c r="F4" s="34"/>
      <c r="G4" s="11"/>
      <c r="H4" s="11"/>
      <c r="I4" s="11" t="s">
        <v>157</v>
      </c>
      <c r="J4" s="11"/>
      <c r="K4" s="11"/>
    </row>
    <row r="5" spans="1:11" s="40" customFormat="1" ht="46.5" customHeight="1">
      <c r="A5" s="125" t="s">
        <v>872</v>
      </c>
      <c r="B5" s="123" t="s">
        <v>785</v>
      </c>
      <c r="C5" s="123" t="s">
        <v>786</v>
      </c>
      <c r="D5" s="123" t="s">
        <v>787</v>
      </c>
      <c r="E5" s="52" t="s">
        <v>788</v>
      </c>
      <c r="F5" s="52" t="s">
        <v>269</v>
      </c>
      <c r="G5" s="123" t="s">
        <v>790</v>
      </c>
      <c r="H5" s="123" t="s">
        <v>791</v>
      </c>
      <c r="I5" s="123" t="s">
        <v>792</v>
      </c>
      <c r="J5" s="123" t="s">
        <v>793</v>
      </c>
      <c r="K5" s="51" t="s">
        <v>794</v>
      </c>
    </row>
    <row r="6" spans="1:10" s="11" customFormat="1" ht="3.75" customHeight="1">
      <c r="A6" s="160"/>
      <c r="B6" s="159"/>
      <c r="C6" s="231"/>
      <c r="D6" s="160"/>
      <c r="E6" s="160"/>
      <c r="F6" s="160"/>
      <c r="G6" s="160"/>
      <c r="H6" s="160"/>
      <c r="I6" s="160"/>
      <c r="J6" s="160"/>
    </row>
    <row r="7" spans="1:13" s="40" customFormat="1" ht="14.25">
      <c r="A7" s="145" t="s">
        <v>906</v>
      </c>
      <c r="B7" s="279">
        <v>0</v>
      </c>
      <c r="C7" s="279">
        <v>10.3</v>
      </c>
      <c r="D7" s="279">
        <v>26.2</v>
      </c>
      <c r="E7" s="279">
        <v>17.8</v>
      </c>
      <c r="F7" s="279">
        <v>15.2</v>
      </c>
      <c r="G7" s="279">
        <v>12.9</v>
      </c>
      <c r="H7" s="279">
        <v>9.6</v>
      </c>
      <c r="I7" s="279">
        <v>5.6</v>
      </c>
      <c r="J7" s="279">
        <v>2</v>
      </c>
      <c r="K7" s="279">
        <v>0.5</v>
      </c>
      <c r="L7" s="88"/>
      <c r="M7" s="88"/>
    </row>
    <row r="8" spans="1:13" s="40" customFormat="1" ht="36">
      <c r="A8" s="189" t="s">
        <v>901</v>
      </c>
      <c r="B8" s="280">
        <v>0</v>
      </c>
      <c r="C8" s="281">
        <v>7.6</v>
      </c>
      <c r="D8" s="281">
        <v>46.8</v>
      </c>
      <c r="E8" s="281">
        <v>29.6</v>
      </c>
      <c r="F8" s="281">
        <v>10.7</v>
      </c>
      <c r="G8" s="281">
        <v>3.9</v>
      </c>
      <c r="H8" s="281">
        <v>1.1</v>
      </c>
      <c r="I8" s="281">
        <v>0.3</v>
      </c>
      <c r="J8" s="281">
        <v>0</v>
      </c>
      <c r="K8" s="281">
        <v>0</v>
      </c>
      <c r="L8" s="88"/>
      <c r="M8" s="88"/>
    </row>
    <row r="9" spans="1:13" s="40" customFormat="1" ht="14.25">
      <c r="A9" s="181" t="s">
        <v>887</v>
      </c>
      <c r="B9" s="278">
        <v>0</v>
      </c>
      <c r="C9" s="279">
        <v>6.2</v>
      </c>
      <c r="D9" s="279">
        <v>48.4</v>
      </c>
      <c r="E9" s="279">
        <v>31.4</v>
      </c>
      <c r="F9" s="279">
        <v>9.9</v>
      </c>
      <c r="G9" s="279">
        <v>3.1</v>
      </c>
      <c r="H9" s="279">
        <v>0.9</v>
      </c>
      <c r="I9" s="279">
        <v>0.2</v>
      </c>
      <c r="J9" s="279">
        <v>0</v>
      </c>
      <c r="K9" s="279">
        <v>0</v>
      </c>
      <c r="L9" s="88"/>
      <c r="M9" s="88"/>
    </row>
    <row r="10" spans="1:13" s="40" customFormat="1" ht="14.25">
      <c r="A10" s="181" t="s">
        <v>888</v>
      </c>
      <c r="B10" s="278">
        <v>0</v>
      </c>
      <c r="C10" s="279">
        <v>7.9</v>
      </c>
      <c r="D10" s="279">
        <v>46.6</v>
      </c>
      <c r="E10" s="279">
        <v>28.1</v>
      </c>
      <c r="F10" s="279">
        <v>11.2</v>
      </c>
      <c r="G10" s="279">
        <v>4.5</v>
      </c>
      <c r="H10" s="279">
        <v>1.2</v>
      </c>
      <c r="I10" s="279">
        <v>0.4</v>
      </c>
      <c r="J10" s="279">
        <v>0</v>
      </c>
      <c r="K10" s="279">
        <v>0</v>
      </c>
      <c r="L10" s="88"/>
      <c r="M10" s="88"/>
    </row>
    <row r="11" spans="1:13" s="40" customFormat="1" ht="14.25">
      <c r="A11" s="175" t="s">
        <v>844</v>
      </c>
      <c r="B11" s="278">
        <v>0</v>
      </c>
      <c r="C11" s="279">
        <v>12.6</v>
      </c>
      <c r="D11" s="279">
        <v>41.1</v>
      </c>
      <c r="E11" s="279">
        <v>25.2</v>
      </c>
      <c r="F11" s="279">
        <v>12.8</v>
      </c>
      <c r="G11" s="279">
        <v>5.9</v>
      </c>
      <c r="H11" s="279">
        <v>1.7</v>
      </c>
      <c r="I11" s="279">
        <v>0.5</v>
      </c>
      <c r="J11" s="279">
        <v>0.1</v>
      </c>
      <c r="K11" s="279">
        <v>0</v>
      </c>
      <c r="L11" s="88"/>
      <c r="M11" s="88"/>
    </row>
    <row r="12" spans="1:13" s="40" customFormat="1" ht="36">
      <c r="A12" s="189" t="s">
        <v>902</v>
      </c>
      <c r="B12" s="280">
        <v>0</v>
      </c>
      <c r="C12" s="281">
        <v>21.2</v>
      </c>
      <c r="D12" s="281">
        <v>41.6</v>
      </c>
      <c r="E12" s="281">
        <v>21.7</v>
      </c>
      <c r="F12" s="281">
        <v>10.2</v>
      </c>
      <c r="G12" s="281">
        <v>3.6</v>
      </c>
      <c r="H12" s="281">
        <v>1.2</v>
      </c>
      <c r="I12" s="281">
        <v>0.3</v>
      </c>
      <c r="J12" s="281">
        <v>0.1</v>
      </c>
      <c r="K12" s="281">
        <v>0</v>
      </c>
      <c r="L12" s="88"/>
      <c r="M12" s="88"/>
    </row>
    <row r="13" spans="1:13" s="40" customFormat="1" ht="36">
      <c r="A13" s="182" t="s">
        <v>353</v>
      </c>
      <c r="B13" s="278">
        <v>0</v>
      </c>
      <c r="C13" s="279">
        <v>6.6</v>
      </c>
      <c r="D13" s="279">
        <v>44.6</v>
      </c>
      <c r="E13" s="279">
        <v>32</v>
      </c>
      <c r="F13" s="279">
        <v>12.6</v>
      </c>
      <c r="G13" s="279">
        <v>3.8</v>
      </c>
      <c r="H13" s="279">
        <v>0.4</v>
      </c>
      <c r="I13" s="279">
        <v>0</v>
      </c>
      <c r="J13" s="279">
        <v>0</v>
      </c>
      <c r="K13" s="279">
        <v>0</v>
      </c>
      <c r="L13" s="88"/>
      <c r="M13" s="88"/>
    </row>
    <row r="14" spans="1:12" s="40" customFormat="1" ht="36">
      <c r="A14" s="183" t="s">
        <v>48</v>
      </c>
      <c r="B14" s="278">
        <v>0</v>
      </c>
      <c r="C14" s="279">
        <v>9.8</v>
      </c>
      <c r="D14" s="279">
        <v>51.3</v>
      </c>
      <c r="E14" s="279">
        <v>24.4</v>
      </c>
      <c r="F14" s="279">
        <v>10.7</v>
      </c>
      <c r="G14" s="279">
        <v>3</v>
      </c>
      <c r="H14" s="279">
        <v>0.9</v>
      </c>
      <c r="I14" s="279">
        <v>0</v>
      </c>
      <c r="J14" s="279">
        <v>0</v>
      </c>
      <c r="K14" s="279">
        <v>0</v>
      </c>
      <c r="L14" s="88"/>
    </row>
    <row r="15" spans="1:12" s="40" customFormat="1" ht="14.25">
      <c r="A15" s="183" t="s">
        <v>381</v>
      </c>
      <c r="B15" s="278">
        <v>0</v>
      </c>
      <c r="C15" s="279">
        <v>7.2</v>
      </c>
      <c r="D15" s="279">
        <v>43.9</v>
      </c>
      <c r="E15" s="279">
        <v>28.9</v>
      </c>
      <c r="F15" s="279">
        <v>13</v>
      </c>
      <c r="G15" s="279">
        <v>4.9</v>
      </c>
      <c r="H15" s="279">
        <v>1.6</v>
      </c>
      <c r="I15" s="279">
        <v>0.3</v>
      </c>
      <c r="J15" s="279">
        <v>0.1</v>
      </c>
      <c r="K15" s="279">
        <v>0</v>
      </c>
      <c r="L15" s="88"/>
    </row>
    <row r="16" spans="1:13" s="40" customFormat="1" ht="14.25">
      <c r="A16" s="181" t="s">
        <v>889</v>
      </c>
      <c r="B16" s="278">
        <v>0</v>
      </c>
      <c r="C16" s="279">
        <v>0</v>
      </c>
      <c r="D16" s="279">
        <v>0</v>
      </c>
      <c r="E16" s="279">
        <v>33.3</v>
      </c>
      <c r="F16" s="279">
        <v>66.7</v>
      </c>
      <c r="G16" s="279">
        <v>0</v>
      </c>
      <c r="H16" s="279">
        <v>0</v>
      </c>
      <c r="I16" s="279">
        <v>0</v>
      </c>
      <c r="J16" s="279">
        <v>0</v>
      </c>
      <c r="K16" s="279">
        <v>0</v>
      </c>
      <c r="L16" s="88"/>
      <c r="M16" s="88"/>
    </row>
    <row r="17" spans="1:13" s="40" customFormat="1" ht="14.25">
      <c r="A17" s="181" t="s">
        <v>890</v>
      </c>
      <c r="B17" s="278">
        <v>0</v>
      </c>
      <c r="C17" s="279">
        <v>8.4</v>
      </c>
      <c r="D17" s="279">
        <v>43.9</v>
      </c>
      <c r="E17" s="279">
        <v>28.8</v>
      </c>
      <c r="F17" s="279">
        <v>14.2</v>
      </c>
      <c r="G17" s="279">
        <v>3.7</v>
      </c>
      <c r="H17" s="279">
        <v>0.8</v>
      </c>
      <c r="I17" s="279">
        <v>0.1</v>
      </c>
      <c r="J17" s="279">
        <v>0</v>
      </c>
      <c r="K17" s="279">
        <v>0</v>
      </c>
      <c r="L17" s="88"/>
      <c r="M17" s="88"/>
    </row>
    <row r="18" spans="1:13" s="40" customFormat="1" ht="14.25">
      <c r="A18" s="179" t="s">
        <v>891</v>
      </c>
      <c r="B18" s="278">
        <v>0</v>
      </c>
      <c r="C18" s="279">
        <v>18.2</v>
      </c>
      <c r="D18" s="279">
        <v>68.2</v>
      </c>
      <c r="E18" s="279">
        <v>4.5</v>
      </c>
      <c r="F18" s="279">
        <v>4.5</v>
      </c>
      <c r="G18" s="279">
        <v>4.5</v>
      </c>
      <c r="H18" s="279">
        <v>0</v>
      </c>
      <c r="I18" s="279">
        <v>0</v>
      </c>
      <c r="J18" s="279">
        <v>0</v>
      </c>
      <c r="K18" s="279">
        <v>0</v>
      </c>
      <c r="L18" s="88"/>
      <c r="M18" s="88"/>
    </row>
    <row r="19" spans="1:13" s="40" customFormat="1" ht="27">
      <c r="A19" s="174" t="s">
        <v>363</v>
      </c>
      <c r="B19" s="278"/>
      <c r="C19" s="279"/>
      <c r="D19" s="279"/>
      <c r="E19" s="279"/>
      <c r="F19" s="279"/>
      <c r="G19" s="279"/>
      <c r="H19" s="279"/>
      <c r="I19" s="279"/>
      <c r="J19" s="279"/>
      <c r="K19" s="279"/>
      <c r="L19" s="88"/>
      <c r="M19" s="88"/>
    </row>
    <row r="20" spans="1:13" s="40" customFormat="1" ht="35.25">
      <c r="A20" s="179" t="s">
        <v>354</v>
      </c>
      <c r="B20" s="278">
        <v>0</v>
      </c>
      <c r="C20" s="279">
        <v>3.1</v>
      </c>
      <c r="D20" s="279">
        <v>59.2</v>
      </c>
      <c r="E20" s="279">
        <v>32.7</v>
      </c>
      <c r="F20" s="279">
        <v>5.1</v>
      </c>
      <c r="G20" s="279">
        <v>0</v>
      </c>
      <c r="H20" s="279">
        <v>0</v>
      </c>
      <c r="I20" s="279">
        <v>0</v>
      </c>
      <c r="J20" s="279">
        <v>0</v>
      </c>
      <c r="K20" s="279">
        <v>0</v>
      </c>
      <c r="L20" s="88"/>
      <c r="M20" s="88"/>
    </row>
    <row r="21" spans="1:13" s="40" customFormat="1" ht="35.25">
      <c r="A21" s="179" t="s">
        <v>355</v>
      </c>
      <c r="B21" s="278">
        <v>0</v>
      </c>
      <c r="C21" s="279">
        <v>1.4</v>
      </c>
      <c r="D21" s="279">
        <v>60.4</v>
      </c>
      <c r="E21" s="279">
        <v>38.2</v>
      </c>
      <c r="F21" s="279">
        <v>0</v>
      </c>
      <c r="G21" s="279">
        <v>0</v>
      </c>
      <c r="H21" s="279">
        <v>0</v>
      </c>
      <c r="I21" s="279">
        <v>0</v>
      </c>
      <c r="J21" s="279">
        <v>0</v>
      </c>
      <c r="K21" s="279">
        <v>0</v>
      </c>
      <c r="L21" s="88"/>
      <c r="M21" s="88"/>
    </row>
    <row r="22" spans="1:13" s="40" customFormat="1" ht="14.25">
      <c r="A22" s="181" t="s">
        <v>892</v>
      </c>
      <c r="B22" s="278">
        <v>0</v>
      </c>
      <c r="C22" s="279">
        <v>47.5</v>
      </c>
      <c r="D22" s="279">
        <v>41.2</v>
      </c>
      <c r="E22" s="279">
        <v>8</v>
      </c>
      <c r="F22" s="279">
        <v>3.2</v>
      </c>
      <c r="G22" s="279">
        <v>0.1</v>
      </c>
      <c r="H22" s="279">
        <v>0</v>
      </c>
      <c r="I22" s="279">
        <v>0</v>
      </c>
      <c r="J22" s="279">
        <v>0</v>
      </c>
      <c r="K22" s="279">
        <v>0</v>
      </c>
      <c r="L22" s="88"/>
      <c r="M22" s="88"/>
    </row>
    <row r="23" spans="1:13" s="40" customFormat="1" ht="35.25">
      <c r="A23" s="179" t="s">
        <v>191</v>
      </c>
      <c r="B23" s="278">
        <v>0</v>
      </c>
      <c r="C23" s="279">
        <v>5</v>
      </c>
      <c r="D23" s="279">
        <v>54.1</v>
      </c>
      <c r="E23" s="279">
        <v>35.3</v>
      </c>
      <c r="F23" s="279">
        <v>4.6</v>
      </c>
      <c r="G23" s="279">
        <v>1</v>
      </c>
      <c r="H23" s="279">
        <v>0</v>
      </c>
      <c r="I23" s="279">
        <v>0</v>
      </c>
      <c r="J23" s="279">
        <v>0</v>
      </c>
      <c r="K23" s="279">
        <v>0</v>
      </c>
      <c r="L23" s="88"/>
      <c r="M23" s="88"/>
    </row>
    <row r="24" spans="1:13" s="40" customFormat="1" ht="23.25">
      <c r="A24" s="179" t="s">
        <v>380</v>
      </c>
      <c r="B24" s="278">
        <v>0</v>
      </c>
      <c r="C24" s="279">
        <v>0</v>
      </c>
      <c r="D24" s="279">
        <v>0</v>
      </c>
      <c r="E24" s="279">
        <v>5</v>
      </c>
      <c r="F24" s="279">
        <v>31.7</v>
      </c>
      <c r="G24" s="279">
        <v>42.1</v>
      </c>
      <c r="H24" s="279">
        <v>18.3</v>
      </c>
      <c r="I24" s="279">
        <v>2.5</v>
      </c>
      <c r="J24" s="279">
        <v>0.5</v>
      </c>
      <c r="K24" s="279">
        <v>0</v>
      </c>
      <c r="L24" s="88"/>
      <c r="M24" s="88"/>
    </row>
    <row r="25" spans="1:13" s="40" customFormat="1" ht="14.25">
      <c r="A25" s="181" t="s">
        <v>350</v>
      </c>
      <c r="B25" s="278">
        <v>0</v>
      </c>
      <c r="C25" s="279">
        <v>2.1</v>
      </c>
      <c r="D25" s="279">
        <v>42.8</v>
      </c>
      <c r="E25" s="279">
        <v>32.1</v>
      </c>
      <c r="F25" s="279">
        <v>14</v>
      </c>
      <c r="G25" s="279">
        <v>7.4</v>
      </c>
      <c r="H25" s="279">
        <v>1.6</v>
      </c>
      <c r="I25" s="279">
        <v>0</v>
      </c>
      <c r="J25" s="279">
        <v>0</v>
      </c>
      <c r="K25" s="279">
        <v>0</v>
      </c>
      <c r="L25" s="88"/>
      <c r="M25" s="88"/>
    </row>
    <row r="26" spans="1:13" s="40" customFormat="1" ht="14.25">
      <c r="A26" s="181" t="s">
        <v>357</v>
      </c>
      <c r="B26" s="278"/>
      <c r="C26" s="279"/>
      <c r="D26" s="279"/>
      <c r="E26" s="279"/>
      <c r="F26" s="279"/>
      <c r="G26" s="279"/>
      <c r="H26" s="279"/>
      <c r="I26" s="279"/>
      <c r="J26" s="279"/>
      <c r="K26" s="279"/>
      <c r="L26" s="88"/>
      <c r="M26" s="88"/>
    </row>
    <row r="27" spans="1:13" s="40" customFormat="1" ht="14.25">
      <c r="A27" s="184" t="s">
        <v>358</v>
      </c>
      <c r="B27" s="278">
        <v>0</v>
      </c>
      <c r="C27" s="279">
        <v>9.2</v>
      </c>
      <c r="D27" s="279">
        <v>40.6</v>
      </c>
      <c r="E27" s="279">
        <v>29.8</v>
      </c>
      <c r="F27" s="279">
        <v>14.3</v>
      </c>
      <c r="G27" s="279">
        <v>5</v>
      </c>
      <c r="H27" s="279">
        <v>0.9</v>
      </c>
      <c r="I27" s="279">
        <v>0.1</v>
      </c>
      <c r="J27" s="279">
        <v>0.1</v>
      </c>
      <c r="K27" s="279">
        <v>0</v>
      </c>
      <c r="L27" s="88"/>
      <c r="M27" s="88"/>
    </row>
    <row r="28" spans="1:13" s="40" customFormat="1" ht="14.25">
      <c r="A28" s="181" t="s">
        <v>359</v>
      </c>
      <c r="B28" s="278">
        <v>0</v>
      </c>
      <c r="C28" s="279">
        <v>5.6</v>
      </c>
      <c r="D28" s="279">
        <v>35.9</v>
      </c>
      <c r="E28" s="279">
        <v>30.6</v>
      </c>
      <c r="F28" s="279">
        <v>20.7</v>
      </c>
      <c r="G28" s="279">
        <v>5.7</v>
      </c>
      <c r="H28" s="279">
        <v>1.1</v>
      </c>
      <c r="I28" s="279">
        <v>0.2</v>
      </c>
      <c r="J28" s="279">
        <v>0.1</v>
      </c>
      <c r="K28" s="279">
        <v>0</v>
      </c>
      <c r="L28" s="88"/>
      <c r="M28" s="88"/>
    </row>
    <row r="29" spans="1:13" s="40" customFormat="1" ht="35.25">
      <c r="A29" s="183" t="s">
        <v>360</v>
      </c>
      <c r="B29" s="278">
        <v>0</v>
      </c>
      <c r="C29" s="279">
        <v>0.6</v>
      </c>
      <c r="D29" s="279">
        <v>27.3</v>
      </c>
      <c r="E29" s="279">
        <v>47.8</v>
      </c>
      <c r="F29" s="279">
        <v>14.3</v>
      </c>
      <c r="G29" s="279">
        <v>6.2</v>
      </c>
      <c r="H29" s="279">
        <v>2.5</v>
      </c>
      <c r="I29" s="279">
        <v>1.2</v>
      </c>
      <c r="J29" s="279">
        <v>0</v>
      </c>
      <c r="K29" s="279">
        <v>0</v>
      </c>
      <c r="L29" s="88"/>
      <c r="M29" s="88"/>
    </row>
    <row r="30" spans="1:13" s="40" customFormat="1" ht="14.25">
      <c r="A30" s="183" t="s">
        <v>382</v>
      </c>
      <c r="B30" s="278">
        <v>0</v>
      </c>
      <c r="C30" s="279">
        <v>1.8</v>
      </c>
      <c r="D30" s="279">
        <v>36.6</v>
      </c>
      <c r="E30" s="279">
        <v>35.7</v>
      </c>
      <c r="F30" s="279">
        <v>12.5</v>
      </c>
      <c r="G30" s="279">
        <v>10.7</v>
      </c>
      <c r="H30" s="279">
        <v>1.8</v>
      </c>
      <c r="I30" s="279">
        <v>0.9</v>
      </c>
      <c r="J30" s="279">
        <v>0</v>
      </c>
      <c r="K30" s="279">
        <v>0</v>
      </c>
      <c r="L30" s="88"/>
      <c r="M30" s="88"/>
    </row>
    <row r="31" spans="1:12" s="40" customFormat="1" ht="14.25">
      <c r="A31" s="185" t="s">
        <v>893</v>
      </c>
      <c r="B31" s="278">
        <v>0</v>
      </c>
      <c r="C31" s="279">
        <v>10.8</v>
      </c>
      <c r="D31" s="279">
        <v>40.4</v>
      </c>
      <c r="E31" s="279">
        <v>25.6</v>
      </c>
      <c r="F31" s="279">
        <v>13.3</v>
      </c>
      <c r="G31" s="279">
        <v>7.2</v>
      </c>
      <c r="H31" s="279">
        <v>2.1</v>
      </c>
      <c r="I31" s="279">
        <v>0.5</v>
      </c>
      <c r="J31" s="279">
        <v>0</v>
      </c>
      <c r="K31" s="279">
        <v>0.1</v>
      </c>
      <c r="L31" s="88"/>
    </row>
    <row r="32" spans="1:12" s="40" customFormat="1" ht="14.25">
      <c r="A32" s="183" t="s">
        <v>894</v>
      </c>
      <c r="B32" s="278">
        <v>0</v>
      </c>
      <c r="C32" s="279">
        <v>7.3</v>
      </c>
      <c r="D32" s="279">
        <v>28.6</v>
      </c>
      <c r="E32" s="279">
        <v>23</v>
      </c>
      <c r="F32" s="279">
        <v>15.9</v>
      </c>
      <c r="G32" s="279">
        <v>12.6</v>
      </c>
      <c r="H32" s="279">
        <v>8.8</v>
      </c>
      <c r="I32" s="279">
        <v>2.9</v>
      </c>
      <c r="J32" s="279">
        <v>0.7</v>
      </c>
      <c r="K32" s="279">
        <v>0.2</v>
      </c>
      <c r="L32" s="88"/>
    </row>
    <row r="33" spans="1:12" s="40" customFormat="1" ht="23.25">
      <c r="A33" s="183" t="s">
        <v>361</v>
      </c>
      <c r="B33" s="278">
        <v>0</v>
      </c>
      <c r="C33" s="279">
        <v>7.7</v>
      </c>
      <c r="D33" s="279">
        <v>31.7</v>
      </c>
      <c r="E33" s="279">
        <v>26.8</v>
      </c>
      <c r="F33" s="279">
        <v>11.1</v>
      </c>
      <c r="G33" s="279">
        <v>10.6</v>
      </c>
      <c r="H33" s="279">
        <v>7.2</v>
      </c>
      <c r="I33" s="279">
        <v>3.6</v>
      </c>
      <c r="J33" s="279">
        <v>0.8</v>
      </c>
      <c r="K33" s="279">
        <v>0.5</v>
      </c>
      <c r="L33" s="88"/>
    </row>
    <row r="34" spans="1:12" s="40" customFormat="1" ht="24">
      <c r="A34" s="347" t="s">
        <v>365</v>
      </c>
      <c r="B34" s="348">
        <v>0</v>
      </c>
      <c r="C34" s="349">
        <v>7.2</v>
      </c>
      <c r="D34" s="349">
        <v>43.6</v>
      </c>
      <c r="E34" s="349">
        <v>27</v>
      </c>
      <c r="F34" s="349">
        <v>11.6</v>
      </c>
      <c r="G34" s="349">
        <v>7.5</v>
      </c>
      <c r="H34" s="349">
        <v>1.9</v>
      </c>
      <c r="I34" s="349">
        <v>0.9</v>
      </c>
      <c r="J34" s="349">
        <v>0.3</v>
      </c>
      <c r="K34" s="349">
        <v>0</v>
      </c>
      <c r="L34" s="88"/>
    </row>
    <row r="36" spans="1:11" ht="15.75">
      <c r="A36" s="480" t="s">
        <v>898</v>
      </c>
      <c r="B36" s="480"/>
      <c r="C36" s="480"/>
      <c r="D36" s="480"/>
      <c r="E36" s="485" t="s">
        <v>961</v>
      </c>
      <c r="F36" s="485"/>
      <c r="G36" s="485"/>
      <c r="H36" s="485"/>
      <c r="I36" s="485"/>
      <c r="J36" s="485"/>
      <c r="K36" s="485"/>
    </row>
    <row r="42" spans="1:11" ht="15.75">
      <c r="A42" s="458" t="str">
        <f>"- "&amp;Sheet1!B31&amp;" -"</f>
        <v>- 184 -</v>
      </c>
      <c r="B42" s="458"/>
      <c r="C42" s="458"/>
      <c r="D42" s="458"/>
      <c r="E42" s="458" t="str">
        <f>"- "&amp;Sheet1!C31&amp;" -"</f>
        <v>- 185 -</v>
      </c>
      <c r="F42" s="458"/>
      <c r="G42" s="458"/>
      <c r="H42" s="458"/>
      <c r="I42" s="458"/>
      <c r="J42" s="458"/>
      <c r="K42" s="458"/>
    </row>
    <row r="44" ht="15.75">
      <c r="A44" s="328"/>
    </row>
  </sheetData>
  <sheetProtection/>
  <mergeCells count="7">
    <mergeCell ref="E1:K1"/>
    <mergeCell ref="F3:J3"/>
    <mergeCell ref="E36:K36"/>
    <mergeCell ref="A42:D42"/>
    <mergeCell ref="E42:K42"/>
    <mergeCell ref="A36:D36"/>
    <mergeCell ref="A3:C3"/>
  </mergeCells>
  <printOptions/>
  <pageMargins left="0.6299212598425197" right="0.3937007874015748" top="0.5511811023622047" bottom="0.012254901960784314" header="0.5118110236220472" footer="0.7086614173228347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1"/>
  <sheetViews>
    <sheetView view="pageLayout" zoomScaleNormal="75" zoomScaleSheetLayoutView="70" workbookViewId="0" topLeftCell="A91">
      <selection activeCell="A42" sqref="A42:D42"/>
    </sheetView>
  </sheetViews>
  <sheetFormatPr defaultColWidth="9.00390625" defaultRowHeight="16.5"/>
  <cols>
    <col min="1" max="1" width="46.125" style="79" customWidth="1"/>
    <col min="2" max="2" width="15.00390625" style="79" customWidth="1"/>
    <col min="3" max="5" width="13.375" style="79" customWidth="1"/>
    <col min="6" max="6" width="13.125" style="79" customWidth="1"/>
    <col min="7" max="7" width="14.00390625" style="79" customWidth="1"/>
    <col min="8" max="8" width="13.25390625" style="79" customWidth="1"/>
    <col min="9" max="9" width="13.50390625" style="79" customWidth="1"/>
    <col min="10" max="10" width="13.125" style="79" customWidth="1"/>
    <col min="11" max="11" width="14.375" style="79" customWidth="1"/>
    <col min="12" max="16384" width="9.00390625" style="79" customWidth="1"/>
  </cols>
  <sheetData>
    <row r="1" spans="1:11" s="80" customFormat="1" ht="21.75" customHeight="1">
      <c r="A1" s="459" t="s">
        <v>234</v>
      </c>
      <c r="B1" s="459"/>
      <c r="C1" s="459"/>
      <c r="D1" s="459"/>
      <c r="E1" s="483" t="s">
        <v>206</v>
      </c>
      <c r="F1" s="483"/>
      <c r="G1" s="483"/>
      <c r="H1" s="483"/>
      <c r="I1" s="483"/>
      <c r="J1" s="483"/>
      <c r="K1" s="483"/>
    </row>
    <row r="2" spans="1:11" ht="5.25" customHeight="1">
      <c r="A2" s="11"/>
      <c r="B2" s="34"/>
      <c r="C2" s="11"/>
      <c r="D2" s="156"/>
      <c r="E2" s="112"/>
      <c r="F2" s="34"/>
      <c r="G2" s="11"/>
      <c r="H2" s="11"/>
      <c r="I2" s="11"/>
      <c r="J2" s="11"/>
      <c r="K2" s="11"/>
    </row>
    <row r="3" spans="1:11" s="75" customFormat="1" ht="16.5" customHeight="1">
      <c r="A3" s="460" t="s">
        <v>753</v>
      </c>
      <c r="B3" s="461"/>
      <c r="C3" s="461"/>
      <c r="D3" s="67" t="s">
        <v>815</v>
      </c>
      <c r="E3" s="21"/>
      <c r="F3" s="461" t="s">
        <v>157</v>
      </c>
      <c r="G3" s="461"/>
      <c r="H3" s="461"/>
      <c r="I3" s="461"/>
      <c r="J3" s="461"/>
      <c r="K3" s="67" t="s">
        <v>447</v>
      </c>
    </row>
    <row r="4" spans="1:9" s="11" customFormat="1" ht="3.75" customHeight="1">
      <c r="A4" s="160"/>
      <c r="B4" s="232"/>
      <c r="C4" s="160"/>
      <c r="D4" s="160"/>
      <c r="E4" s="160"/>
      <c r="F4" s="160"/>
      <c r="G4" s="160"/>
      <c r="H4" s="160"/>
      <c r="I4" s="11" t="s">
        <v>157</v>
      </c>
    </row>
    <row r="5" spans="1:11" s="40" customFormat="1" ht="28.5">
      <c r="A5" s="125" t="s">
        <v>872</v>
      </c>
      <c r="B5" s="118" t="s">
        <v>785</v>
      </c>
      <c r="C5" s="123" t="s">
        <v>786</v>
      </c>
      <c r="D5" s="123" t="s">
        <v>787</v>
      </c>
      <c r="E5" s="52" t="s">
        <v>788</v>
      </c>
      <c r="F5" s="52" t="s">
        <v>789</v>
      </c>
      <c r="G5" s="123" t="s">
        <v>790</v>
      </c>
      <c r="H5" s="123" t="s">
        <v>791</v>
      </c>
      <c r="I5" s="123" t="s">
        <v>792</v>
      </c>
      <c r="J5" s="123" t="s">
        <v>793</v>
      </c>
      <c r="K5" s="51" t="s">
        <v>794</v>
      </c>
    </row>
    <row r="6" spans="1:8" s="11" customFormat="1" ht="3.75" customHeight="1">
      <c r="A6" s="160"/>
      <c r="B6" s="159"/>
      <c r="C6" s="160"/>
      <c r="D6" s="160"/>
      <c r="E6" s="160"/>
      <c r="F6" s="160"/>
      <c r="G6" s="160"/>
      <c r="H6" s="160"/>
    </row>
    <row r="7" spans="1:12" s="40" customFormat="1" ht="23.25">
      <c r="A7" s="183" t="s">
        <v>366</v>
      </c>
      <c r="B7" s="278">
        <v>0.2</v>
      </c>
      <c r="C7" s="279">
        <v>5</v>
      </c>
      <c r="D7" s="279">
        <v>35.9</v>
      </c>
      <c r="E7" s="279">
        <v>29.6</v>
      </c>
      <c r="F7" s="279">
        <v>17.8</v>
      </c>
      <c r="G7" s="279">
        <v>8.3</v>
      </c>
      <c r="H7" s="279">
        <v>2.5</v>
      </c>
      <c r="I7" s="279">
        <v>0.4</v>
      </c>
      <c r="J7" s="279">
        <v>0.2</v>
      </c>
      <c r="K7" s="279">
        <v>0</v>
      </c>
      <c r="L7" s="88"/>
    </row>
    <row r="8" spans="1:12" s="40" customFormat="1" ht="14.25">
      <c r="A8" s="181" t="s">
        <v>895</v>
      </c>
      <c r="B8" s="279">
        <v>0.1</v>
      </c>
      <c r="C8" s="279">
        <v>3.6</v>
      </c>
      <c r="D8" s="279">
        <v>31.2</v>
      </c>
      <c r="E8" s="279">
        <v>30.6</v>
      </c>
      <c r="F8" s="279">
        <v>17.3</v>
      </c>
      <c r="G8" s="279">
        <v>11.2</v>
      </c>
      <c r="H8" s="279">
        <v>4.2</v>
      </c>
      <c r="I8" s="279">
        <v>1.5</v>
      </c>
      <c r="J8" s="279">
        <v>0.3</v>
      </c>
      <c r="K8" s="279">
        <v>0</v>
      </c>
      <c r="L8" s="88"/>
    </row>
    <row r="9" spans="1:12" s="40" customFormat="1" ht="14.25">
      <c r="A9" s="183" t="s">
        <v>896</v>
      </c>
      <c r="B9" s="279">
        <v>0</v>
      </c>
      <c r="C9" s="279">
        <v>9.8</v>
      </c>
      <c r="D9" s="279">
        <v>36.4</v>
      </c>
      <c r="E9" s="279">
        <v>36.4</v>
      </c>
      <c r="F9" s="279">
        <v>12.5</v>
      </c>
      <c r="G9" s="279">
        <v>3.8</v>
      </c>
      <c r="H9" s="279">
        <v>0</v>
      </c>
      <c r="I9" s="279">
        <v>0.5</v>
      </c>
      <c r="J9" s="279">
        <v>0.5</v>
      </c>
      <c r="K9" s="279">
        <v>0</v>
      </c>
      <c r="L9" s="88"/>
    </row>
    <row r="10" spans="1:12" s="40" customFormat="1" ht="23.25">
      <c r="A10" s="183" t="s">
        <v>367</v>
      </c>
      <c r="B10" s="279">
        <v>0</v>
      </c>
      <c r="C10" s="279">
        <v>0</v>
      </c>
      <c r="D10" s="279">
        <v>31.9</v>
      </c>
      <c r="E10" s="279">
        <v>48.9</v>
      </c>
      <c r="F10" s="279">
        <v>14.9</v>
      </c>
      <c r="G10" s="279">
        <v>2.1</v>
      </c>
      <c r="H10" s="279">
        <v>2.1</v>
      </c>
      <c r="I10" s="279">
        <v>0</v>
      </c>
      <c r="J10" s="279">
        <v>0</v>
      </c>
      <c r="K10" s="279">
        <v>0</v>
      </c>
      <c r="L10" s="88"/>
    </row>
    <row r="11" spans="1:12" s="40" customFormat="1" ht="24">
      <c r="A11" s="179" t="s">
        <v>383</v>
      </c>
      <c r="B11" s="279">
        <v>0</v>
      </c>
      <c r="C11" s="279">
        <v>0</v>
      </c>
      <c r="D11" s="279">
        <v>13.2</v>
      </c>
      <c r="E11" s="279">
        <v>19.1</v>
      </c>
      <c r="F11" s="279">
        <v>20.6</v>
      </c>
      <c r="G11" s="279">
        <v>23.5</v>
      </c>
      <c r="H11" s="279">
        <v>13.2</v>
      </c>
      <c r="I11" s="279">
        <v>4.4</v>
      </c>
      <c r="J11" s="279">
        <v>5.9</v>
      </c>
      <c r="K11" s="279">
        <v>0</v>
      </c>
      <c r="L11" s="88"/>
    </row>
    <row r="12" spans="1:12" s="40" customFormat="1" ht="37.5" customHeight="1">
      <c r="A12" s="245" t="s">
        <v>778</v>
      </c>
      <c r="B12" s="279">
        <v>0</v>
      </c>
      <c r="C12" s="279">
        <v>4.7</v>
      </c>
      <c r="D12" s="279">
        <v>47.1</v>
      </c>
      <c r="E12" s="279">
        <v>25.9</v>
      </c>
      <c r="F12" s="279">
        <v>10.6</v>
      </c>
      <c r="G12" s="279">
        <v>7.1</v>
      </c>
      <c r="H12" s="279">
        <v>4.7</v>
      </c>
      <c r="I12" s="279">
        <v>0</v>
      </c>
      <c r="J12" s="279">
        <v>0</v>
      </c>
      <c r="K12" s="279">
        <v>0</v>
      </c>
      <c r="L12" s="88"/>
    </row>
    <row r="13" spans="1:12" s="40" customFormat="1" ht="14.25">
      <c r="A13" s="1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88"/>
    </row>
    <row r="14" spans="1:12" s="40" customFormat="1" ht="14.25">
      <c r="A14" s="186" t="s">
        <v>903</v>
      </c>
      <c r="B14" s="281">
        <v>0</v>
      </c>
      <c r="C14" s="281">
        <v>0</v>
      </c>
      <c r="D14" s="281">
        <f>'表33'!H7/'表33'!D7*100</f>
        <v>0.20874383035174313</v>
      </c>
      <c r="E14" s="281">
        <f>'表33'!I7/'表33'!$D7*100</f>
        <v>8.226847968161689</v>
      </c>
      <c r="F14" s="281">
        <f>'表33'!J7/'表33'!$D7*100</f>
        <v>23.15690903060926</v>
      </c>
      <c r="G14" s="281">
        <f>'表33'!K7/'表33'!$D7*100</f>
        <v>27.50151192961236</v>
      </c>
      <c r="H14" s="281">
        <f>'表33'!L7/'表33'!$D7*100</f>
        <v>21.99418638678086</v>
      </c>
      <c r="I14" s="281">
        <f>'表33'!M7/'表33'!$D7*100</f>
        <v>13.191829727462496</v>
      </c>
      <c r="J14" s="281">
        <f>'表33'!N7/'表33'!$D7*100</f>
        <v>4.635283559960202</v>
      </c>
      <c r="K14" s="281">
        <f>'表33'!O7/'表33'!$D7*100</f>
        <v>1.0846875670613942</v>
      </c>
      <c r="L14" s="88"/>
    </row>
    <row r="15" spans="1:12" s="42" customFormat="1" ht="23.25">
      <c r="A15" s="183" t="s">
        <v>368</v>
      </c>
      <c r="B15" s="283">
        <v>0</v>
      </c>
      <c r="C15" s="283">
        <v>0</v>
      </c>
      <c r="D15" s="283">
        <f>'表33'!H10/'表33'!D10*100</f>
        <v>0</v>
      </c>
      <c r="E15" s="283">
        <f>'表33'!I10/'表33'!D10*100</f>
        <v>0.36305302262749073</v>
      </c>
      <c r="F15" s="283">
        <f>'表33'!J10/'表33'!D10*100</f>
        <v>16.016548463356976</v>
      </c>
      <c r="G15" s="283">
        <f>'表33'!K10/'表33'!D10*100</f>
        <v>30.445795339412363</v>
      </c>
      <c r="H15" s="283">
        <f>'表33'!L10/'表33'!D10*100</f>
        <v>27.31340763255657</v>
      </c>
      <c r="I15" s="283">
        <f>'表33'!M10/'表33'!D10*100</f>
        <v>18.02600472813239</v>
      </c>
      <c r="J15" s="283">
        <f>'表33'!N10/'表33'!D10*100</f>
        <v>6.197230665315772</v>
      </c>
      <c r="K15" s="283">
        <f>'表33'!O10/'表33'!D10*100</f>
        <v>1.6379601485984465</v>
      </c>
      <c r="L15" s="88"/>
    </row>
    <row r="16" spans="1:16" s="40" customFormat="1" ht="36">
      <c r="A16" s="183" t="s">
        <v>369</v>
      </c>
      <c r="B16" s="283">
        <v>0</v>
      </c>
      <c r="C16" s="283">
        <v>0</v>
      </c>
      <c r="D16" s="283">
        <f>'表33'!H40/'表33'!D40*100</f>
        <v>0.005876476464711759</v>
      </c>
      <c r="E16" s="283">
        <f>'表33'!I40/'表33'!D40*100</f>
        <v>2.1742962919433504</v>
      </c>
      <c r="F16" s="283">
        <f>'表33'!J40/'表33'!D40*100</f>
        <v>15.478639008050774</v>
      </c>
      <c r="G16" s="283">
        <f>'表33'!K40/'表33'!D40*100</f>
        <v>30.9866603984251</v>
      </c>
      <c r="H16" s="283">
        <f>'表33'!L40/'表33'!D40*100</f>
        <v>29.546923664570723</v>
      </c>
      <c r="I16" s="283">
        <f>'表33'!M40/'表33'!D40*100</f>
        <v>15.866486454721748</v>
      </c>
      <c r="J16" s="283">
        <f>'表33'!N40/'表33'!D40*100</f>
        <v>4.836340130457777</v>
      </c>
      <c r="K16" s="283">
        <f>'表33'!O40/'表33'!D40*100</f>
        <v>1.1047775753658107</v>
      </c>
      <c r="L16" s="88"/>
      <c r="M16" s="42"/>
      <c r="N16" s="42"/>
      <c r="O16" s="42"/>
      <c r="P16" s="42"/>
    </row>
    <row r="17" spans="1:12" s="40" customFormat="1" ht="35.25">
      <c r="A17" s="183" t="s">
        <v>370</v>
      </c>
      <c r="B17" s="282">
        <v>0</v>
      </c>
      <c r="C17" s="283">
        <v>0</v>
      </c>
      <c r="D17" s="283">
        <f>'表33(續1)'!H34/'表33(續1)'!D34*100</f>
        <v>0.5565180868378222</v>
      </c>
      <c r="E17" s="283">
        <f>'表33(續1)'!I34/'表33(續1)'!D34*100</f>
        <v>19.955898566703418</v>
      </c>
      <c r="F17" s="283">
        <f>'表33(續1)'!J34/'表33(續1)'!D34*100</f>
        <v>38.35249645613483</v>
      </c>
      <c r="G17" s="283">
        <f>'表33(續1)'!K34/'表33(續1)'!D34*100</f>
        <v>26.665616632540555</v>
      </c>
      <c r="H17" s="283">
        <f>'表33(續1)'!L34/'表33(續1)'!D34*100</f>
        <v>10.873103375859715</v>
      </c>
      <c r="I17" s="283">
        <v>3.1</v>
      </c>
      <c r="J17" s="283">
        <f>'表33(續1)'!N34/'表33(續1)'!D34*100</f>
        <v>0.48301569801018535</v>
      </c>
      <c r="K17" s="283">
        <f>'表33(續1)'!O34/'表33(續1)'!D34*100</f>
        <v>0.015750511891636478</v>
      </c>
      <c r="L17" s="88"/>
    </row>
    <row r="18" spans="1:12" s="40" customFormat="1" ht="35.25">
      <c r="A18" s="183" t="s">
        <v>371</v>
      </c>
      <c r="B18" s="282">
        <v>0</v>
      </c>
      <c r="C18" s="283">
        <v>0</v>
      </c>
      <c r="D18" s="279">
        <f>'表33(續2)'!H25/'表33(續2)'!D25*100</f>
        <v>0</v>
      </c>
      <c r="E18" s="279">
        <f>'表33(續2)'!I25/'表33(續2)'!D25*100</f>
        <v>0</v>
      </c>
      <c r="F18" s="279">
        <f>'表33(續2)'!J25/'表33(續2)'!D25*100</f>
        <v>0.036845983787767135</v>
      </c>
      <c r="G18" s="279">
        <f>'表33(續2)'!K25/'表33(續2)'!D25*100</f>
        <v>2.2476050110537953</v>
      </c>
      <c r="H18" s="279">
        <f>'表33(續2)'!L25/'表33(續2)'!D25*100</f>
        <v>27.708179808400885</v>
      </c>
      <c r="I18" s="279">
        <f>'表33(續2)'!M25/'表33(續2)'!D25*100</f>
        <v>41.30434782608695</v>
      </c>
      <c r="J18" s="279">
        <f>'表33(續2)'!N25/'表33(續2)'!D25*100</f>
        <v>22.77081798084009</v>
      </c>
      <c r="K18" s="279">
        <f>'表33(續2)'!O25/'表33(續2)'!D25*100</f>
        <v>5.932203389830509</v>
      </c>
      <c r="L18" s="88"/>
    </row>
    <row r="19" spans="1:12" s="40" customFormat="1" ht="23.25">
      <c r="A19" s="183" t="s">
        <v>781</v>
      </c>
      <c r="B19" s="282">
        <v>0</v>
      </c>
      <c r="C19" s="283">
        <v>0</v>
      </c>
      <c r="D19" s="279">
        <f>'表33(續完)'!H16/'表33(續完)'!D16*100</f>
        <v>0</v>
      </c>
      <c r="E19" s="279">
        <f>'表33(續完)'!I16/'表33(續完)'!D16*100</f>
        <v>0.47095761381475665</v>
      </c>
      <c r="F19" s="279">
        <f>'表33(續完)'!J16/'表33(續完)'!D16*100</f>
        <v>5.180533751962323</v>
      </c>
      <c r="G19" s="279">
        <f>'表33(續完)'!K16/'表33(續完)'!D16*100</f>
        <v>12.244897959183673</v>
      </c>
      <c r="H19" s="279">
        <f>'表33(續完)'!L16/'表33(續完)'!D16*100</f>
        <v>29.513343799058084</v>
      </c>
      <c r="I19" s="279">
        <f>'表33(續完)'!M16/'表33(續完)'!D16*100</f>
        <v>33.90894819466248</v>
      </c>
      <c r="J19" s="279">
        <f>'表33(續完)'!N16/'表33(續完)'!D16*100</f>
        <v>17.111459968602826</v>
      </c>
      <c r="K19" s="279">
        <f>'表33(續完)'!O16/'表33(續完)'!D16*100</f>
        <v>1.5698587127158554</v>
      </c>
      <c r="L19" s="88"/>
    </row>
    <row r="20" spans="1:12" s="40" customFormat="1" ht="14.25">
      <c r="A20" s="183"/>
      <c r="B20" s="283"/>
      <c r="C20" s="283"/>
      <c r="D20" s="279"/>
      <c r="E20" s="279"/>
      <c r="F20" s="279"/>
      <c r="G20" s="279"/>
      <c r="H20" s="279"/>
      <c r="I20" s="279"/>
      <c r="J20" s="279"/>
      <c r="K20" s="279"/>
      <c r="L20" s="88"/>
    </row>
    <row r="21" spans="1:12" s="42" customFormat="1" ht="14.25">
      <c r="A21" s="186" t="s">
        <v>897</v>
      </c>
      <c r="B21" s="281">
        <v>0</v>
      </c>
      <c r="C21" s="281">
        <v>0.2</v>
      </c>
      <c r="D21" s="281">
        <v>5.3</v>
      </c>
      <c r="E21" s="281">
        <v>12.9</v>
      </c>
      <c r="F21" s="281">
        <v>20.8</v>
      </c>
      <c r="G21" s="281">
        <v>20</v>
      </c>
      <c r="H21" s="281">
        <v>22</v>
      </c>
      <c r="I21" s="281">
        <v>13.4</v>
      </c>
      <c r="J21" s="281">
        <v>4.6</v>
      </c>
      <c r="K21" s="281">
        <v>0.8</v>
      </c>
      <c r="L21" s="88"/>
    </row>
    <row r="22" spans="1:12" s="40" customFormat="1" ht="14.25">
      <c r="A22" s="183" t="s">
        <v>372</v>
      </c>
      <c r="B22" s="283">
        <v>0</v>
      </c>
      <c r="C22" s="283">
        <v>0</v>
      </c>
      <c r="D22" s="283">
        <v>0.9</v>
      </c>
      <c r="E22" s="283">
        <v>2.7</v>
      </c>
      <c r="F22" s="283">
        <v>5.5</v>
      </c>
      <c r="G22" s="283">
        <v>17.4</v>
      </c>
      <c r="H22" s="283">
        <v>35.6</v>
      </c>
      <c r="I22" s="283">
        <v>26</v>
      </c>
      <c r="J22" s="283">
        <v>11</v>
      </c>
      <c r="K22" s="283">
        <v>0.9</v>
      </c>
      <c r="L22" s="88"/>
    </row>
    <row r="23" spans="1:12" s="40" customFormat="1" ht="36">
      <c r="A23" s="183" t="s">
        <v>373</v>
      </c>
      <c r="B23" s="283">
        <v>0</v>
      </c>
      <c r="C23" s="279">
        <v>0.2</v>
      </c>
      <c r="D23" s="279">
        <v>6.4</v>
      </c>
      <c r="E23" s="279">
        <v>15.8</v>
      </c>
      <c r="F23" s="279">
        <v>25.6</v>
      </c>
      <c r="G23" s="279">
        <v>21</v>
      </c>
      <c r="H23" s="279">
        <v>18.6</v>
      </c>
      <c r="I23" s="279">
        <v>9.3</v>
      </c>
      <c r="J23" s="279">
        <v>2.2</v>
      </c>
      <c r="K23" s="279">
        <v>0.9</v>
      </c>
      <c r="L23" s="88"/>
    </row>
    <row r="24" spans="1:12" s="40" customFormat="1" ht="24">
      <c r="A24" s="183" t="s">
        <v>374</v>
      </c>
      <c r="B24" s="283">
        <v>0</v>
      </c>
      <c r="C24" s="279">
        <v>0</v>
      </c>
      <c r="D24" s="279">
        <v>5.5</v>
      </c>
      <c r="E24" s="279">
        <v>12.3</v>
      </c>
      <c r="F24" s="279">
        <v>18.7</v>
      </c>
      <c r="G24" s="279">
        <v>18.7</v>
      </c>
      <c r="H24" s="279">
        <v>21</v>
      </c>
      <c r="I24" s="279">
        <v>16</v>
      </c>
      <c r="J24" s="279">
        <v>7.3</v>
      </c>
      <c r="K24" s="279">
        <v>0.5</v>
      </c>
      <c r="L24" s="88"/>
    </row>
    <row r="25" spans="1:12" s="40" customFormat="1" ht="14.25">
      <c r="A25" s="183"/>
      <c r="B25" s="283"/>
      <c r="C25" s="279"/>
      <c r="D25" s="279"/>
      <c r="E25" s="279"/>
      <c r="F25" s="279"/>
      <c r="G25" s="279"/>
      <c r="H25" s="279"/>
      <c r="I25" s="279"/>
      <c r="J25" s="279"/>
      <c r="K25" s="279"/>
      <c r="L25" s="88"/>
    </row>
    <row r="26" spans="1:12" s="40" customFormat="1" ht="36">
      <c r="A26" s="244" t="s">
        <v>780</v>
      </c>
      <c r="B26" s="280">
        <f>'表35'!F7/'表35'!E7*100</f>
        <v>0</v>
      </c>
      <c r="C26" s="281">
        <f>'表35'!G7/'表35'!E7*100</f>
        <v>0</v>
      </c>
      <c r="D26" s="281">
        <f>'表35'!H7/'表35'!E7*100</f>
        <v>0</v>
      </c>
      <c r="E26" s="281">
        <f>'表35'!I7/'表35'!E7*100</f>
        <v>0</v>
      </c>
      <c r="F26" s="281">
        <f>'表35'!J7/'表35'!D7*100</f>
        <v>2.6785714285714284</v>
      </c>
      <c r="G26" s="281">
        <f>'表35'!K7/'表35'!D7*100</f>
        <v>10.714285714285714</v>
      </c>
      <c r="H26" s="281">
        <f>'表35'!L7/'表35'!D7*100</f>
        <v>19.642857142857142</v>
      </c>
      <c r="I26" s="281">
        <f>'表35'!M7/'表35'!D7*100</f>
        <v>32.142857142857146</v>
      </c>
      <c r="J26" s="281">
        <f>'表35'!N7/'表35'!D7*100</f>
        <v>28.57142857142857</v>
      </c>
      <c r="K26" s="281">
        <f>'表35'!O7/'表35'!D7*100</f>
        <v>6.25</v>
      </c>
      <c r="L26" s="88"/>
    </row>
    <row r="27" spans="1:12" s="40" customFormat="1" ht="14.25">
      <c r="A27" s="183"/>
      <c r="B27" s="283"/>
      <c r="C27" s="279"/>
      <c r="D27" s="279"/>
      <c r="E27" s="279"/>
      <c r="F27" s="279"/>
      <c r="G27" s="279"/>
      <c r="H27" s="279"/>
      <c r="I27" s="279"/>
      <c r="J27" s="279"/>
      <c r="K27" s="279"/>
      <c r="L27" s="88"/>
    </row>
    <row r="28" spans="1:12" s="40" customFormat="1" ht="14.25">
      <c r="A28" s="186" t="s">
        <v>779</v>
      </c>
      <c r="B28" s="280">
        <v>0</v>
      </c>
      <c r="C28" s="281">
        <f>'表36'!G7/'表36'!D7*100</f>
        <v>0.17161068889433687</v>
      </c>
      <c r="D28" s="281">
        <f>'表36'!H7/'表36'!D7*100</f>
        <v>2.8928658985045352</v>
      </c>
      <c r="E28" s="281">
        <f>'表36'!I7/'表36'!D7*100</f>
        <v>7.25668055896053</v>
      </c>
      <c r="F28" s="281">
        <f>'表36'!J7/'表36'!D7*100</f>
        <v>14.78303505761216</v>
      </c>
      <c r="G28" s="281">
        <f>'表36'!K7/'表36'!D7*100</f>
        <v>20.397156165726894</v>
      </c>
      <c r="H28" s="281">
        <f>'表36'!L7/'表36'!D7*100</f>
        <v>25.594508457955385</v>
      </c>
      <c r="I28" s="281">
        <f>'表36'!M7/'表36'!D7*100</f>
        <v>18.852659965677862</v>
      </c>
      <c r="J28" s="281">
        <f>'表36'!N7/'表36'!D7*100</f>
        <v>7.967639127237068</v>
      </c>
      <c r="K28" s="281">
        <f>'表36'!O7/'表36'!D7*100</f>
        <v>2.083844079431233</v>
      </c>
      <c r="L28" s="88"/>
    </row>
    <row r="29" spans="1:12" s="40" customFormat="1" ht="14.25">
      <c r="A29" s="183" t="s">
        <v>375</v>
      </c>
      <c r="B29" s="282">
        <v>0</v>
      </c>
      <c r="C29" s="283">
        <f>'表36'!G10/'表36'!D10*100</f>
        <v>0</v>
      </c>
      <c r="D29" s="283">
        <f>'表36'!H10/'表36'!D10*100</f>
        <v>0</v>
      </c>
      <c r="E29" s="283">
        <f>'表36'!I10/'表36'!D10*100</f>
        <v>0</v>
      </c>
      <c r="F29" s="283">
        <f>'表36'!J10/'表36'!D10*100</f>
        <v>0.45662100456621</v>
      </c>
      <c r="G29" s="283">
        <f>'表36'!K10/'表36'!D10*100</f>
        <v>5.47945205479452</v>
      </c>
      <c r="H29" s="283">
        <f>'表36'!L10/'表36'!D10*100</f>
        <v>26.94063926940639</v>
      </c>
      <c r="I29" s="283">
        <f>'表36'!M10/'表36'!D10*100</f>
        <v>32.64840182648402</v>
      </c>
      <c r="J29" s="283">
        <f>'表36'!N10/'表36'!D10*100</f>
        <v>27.85388127853881</v>
      </c>
      <c r="K29" s="283">
        <f>'表36'!O10/'表36'!D10*100</f>
        <v>6.621004566210045</v>
      </c>
      <c r="L29" s="88"/>
    </row>
    <row r="30" spans="1:12" s="40" customFormat="1" ht="14.25">
      <c r="A30" s="183" t="s">
        <v>376</v>
      </c>
      <c r="B30" s="278">
        <v>0</v>
      </c>
      <c r="C30" s="279">
        <f>'表36'!G34/'表36'!D34*100</f>
        <v>0</v>
      </c>
      <c r="D30" s="279">
        <f>'表36'!H34/'表36'!D34*100</f>
        <v>0</v>
      </c>
      <c r="E30" s="279">
        <f>'表36'!I34/'表36'!D34*100</f>
        <v>0.21621621621621623</v>
      </c>
      <c r="F30" s="279">
        <f>'表36'!J34/'表36'!D34*100</f>
        <v>5.72972972972973</v>
      </c>
      <c r="G30" s="279">
        <f>'表36'!K34/'表36'!D34*100</f>
        <v>16.864864864864863</v>
      </c>
      <c r="H30" s="279">
        <f>'表36'!L34/'表36'!D34*100</f>
        <v>32.21621621621622</v>
      </c>
      <c r="I30" s="279">
        <f>'表36'!M34/'表36'!D34*100</f>
        <v>30.594594594594593</v>
      </c>
      <c r="J30" s="279">
        <f>'表36'!N34/'表36'!D34*100</f>
        <v>11.243243243243244</v>
      </c>
      <c r="K30" s="279">
        <f>'表36'!O34/'表36'!D34*100</f>
        <v>3.135135135135135</v>
      </c>
      <c r="L30" s="88"/>
    </row>
    <row r="31" spans="1:12" s="40" customFormat="1" ht="24">
      <c r="A31" s="183" t="s">
        <v>377</v>
      </c>
      <c r="B31" s="279">
        <v>0</v>
      </c>
      <c r="C31" s="279">
        <f>'表36(續1)'!G28/'表36(續1)'!D28*100</f>
        <v>0.2633889376646181</v>
      </c>
      <c r="D31" s="279">
        <f>'表36(續1)'!H28/'表36(續1)'!D28*100</f>
        <v>4.477611940298507</v>
      </c>
      <c r="E31" s="279">
        <f>'表36(續1)'!I28/'表36(續1)'!D28*100</f>
        <v>15.627743634767342</v>
      </c>
      <c r="F31" s="279">
        <f>'表36(續1)'!J28/'表36(續1)'!D28*100</f>
        <v>24.14398595258999</v>
      </c>
      <c r="G31" s="279">
        <f>'表36(續1)'!K28/'表36(續1)'!D28*100</f>
        <v>22.651448639157156</v>
      </c>
      <c r="H31" s="279">
        <f>'表36(續1)'!L28/'表36(續1)'!D28*100</f>
        <v>18.437225636523266</v>
      </c>
      <c r="I31" s="279">
        <f>'表36(續1)'!M28/'表36(續1)'!D28*100</f>
        <v>10.711150131694469</v>
      </c>
      <c r="J31" s="279">
        <f>'表36(續1)'!N28/'表36(續1)'!D28*100</f>
        <v>2.809482001755926</v>
      </c>
      <c r="K31" s="279">
        <f>'表36(續1)'!O28/'表36(續1)'!D28*100</f>
        <v>0.877963125548727</v>
      </c>
      <c r="L31" s="88"/>
    </row>
    <row r="32" spans="1:12" s="40" customFormat="1" ht="24">
      <c r="A32" s="183" t="s">
        <v>378</v>
      </c>
      <c r="B32" s="279">
        <v>0</v>
      </c>
      <c r="C32" s="279">
        <f>'表36(續2)'!G25/'表36(續2)'!D25*100</f>
        <v>0.5031446540880503</v>
      </c>
      <c r="D32" s="279">
        <f>'表36(續2)'!H25/'表36(續2)'!D25*100</f>
        <v>8.30188679245283</v>
      </c>
      <c r="E32" s="279">
        <f>'表36(續2)'!I25/'表36(續2)'!D25*100</f>
        <v>12.955974842767295</v>
      </c>
      <c r="F32" s="279">
        <f>'表36(續2)'!J25/'表36(續2)'!D25*100</f>
        <v>20.251572327044027</v>
      </c>
      <c r="G32" s="279">
        <f>'表36(續2)'!K25/'表36(續2)'!D25*100</f>
        <v>24.40251572327044</v>
      </c>
      <c r="H32" s="279">
        <f>'表36(續2)'!L25/'表36(續2)'!D25*100</f>
        <v>20.628930817610065</v>
      </c>
      <c r="I32" s="279">
        <f>'表36(續2)'!M25/'表36(續2)'!D25*100</f>
        <v>9.559748427672957</v>
      </c>
      <c r="J32" s="279">
        <f>'表36(續2)'!N25/'表36(續2)'!D25*100</f>
        <v>2.6415094339622645</v>
      </c>
      <c r="K32" s="279">
        <f>'表36(續2)'!O25/'表36(續2)'!D25*100</f>
        <v>0.7547169811320755</v>
      </c>
      <c r="L32" s="88"/>
    </row>
    <row r="33" spans="1:12" s="40" customFormat="1" ht="36">
      <c r="A33" s="183" t="s">
        <v>379</v>
      </c>
      <c r="B33" s="279">
        <v>0</v>
      </c>
      <c r="C33" s="279">
        <f>'表36(續3)'!G22/'表36(續3)'!D22*100</f>
        <v>0</v>
      </c>
      <c r="D33" s="279">
        <f>'表36(續3)'!H22/'表36(續3)'!D22*100</f>
        <v>0.1278772378516624</v>
      </c>
      <c r="E33" s="279">
        <f>'表36(續3)'!I22/'表36(續3)'!D22*100</f>
        <v>1.6624040920716114</v>
      </c>
      <c r="F33" s="279">
        <f>'表36(續3)'!J22/'表36(續3)'!D22*100</f>
        <v>14.322250639386189</v>
      </c>
      <c r="G33" s="279">
        <f>'表36(續3)'!K22/'表36(續3)'!D22*100</f>
        <v>25.575447570332482</v>
      </c>
      <c r="H33" s="279">
        <f>'表36(續3)'!L22/'表36(續3)'!D22*100</f>
        <v>32.48081841432225</v>
      </c>
      <c r="I33" s="279">
        <f>'表36(續3)'!M22/'表36(續3)'!D22*100</f>
        <v>18.542199488491047</v>
      </c>
      <c r="J33" s="279">
        <f>'表36(續3)'!N22/'表36(續3)'!D22*100</f>
        <v>5.88235294117647</v>
      </c>
      <c r="K33" s="279">
        <f>'表36(續3)'!O22/'表36(續3)'!D22*100</f>
        <v>1.4066496163682864</v>
      </c>
      <c r="L33" s="88"/>
    </row>
    <row r="34" spans="1:11" s="11" customFormat="1" ht="3.75" customHeight="1">
      <c r="A34" s="232"/>
      <c r="B34" s="233"/>
      <c r="C34" s="232"/>
      <c r="D34" s="232"/>
      <c r="E34" s="232"/>
      <c r="F34" s="232"/>
      <c r="G34" s="232"/>
      <c r="H34" s="232"/>
      <c r="I34" s="108"/>
      <c r="J34" s="108"/>
      <c r="K34" s="108"/>
    </row>
    <row r="35" spans="1:11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86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40" spans="1:1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.75">
      <c r="A42" s="458" t="str">
        <f>"- "&amp;Sheet1!D31&amp;" -"</f>
        <v>- 186 -</v>
      </c>
      <c r="B42" s="458"/>
      <c r="C42" s="458"/>
      <c r="D42" s="458"/>
      <c r="E42" s="458" t="str">
        <f>"- "&amp;Sheet1!E31&amp;" -"</f>
        <v>- 187 -</v>
      </c>
      <c r="F42" s="458"/>
      <c r="G42" s="458"/>
      <c r="H42" s="458"/>
      <c r="I42" s="458"/>
      <c r="J42" s="458"/>
      <c r="K42" s="458"/>
    </row>
    <row r="43" spans="1:1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>
      <c r="A44" s="328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</sheetData>
  <sheetProtection/>
  <mergeCells count="6">
    <mergeCell ref="A42:D42"/>
    <mergeCell ref="E42:K42"/>
    <mergeCell ref="A1:D1"/>
    <mergeCell ref="A3:C3"/>
    <mergeCell ref="E1:K1"/>
    <mergeCell ref="F3:J3"/>
  </mergeCells>
  <printOptions/>
  <pageMargins left="0.3937007874015748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47"/>
  <sheetViews>
    <sheetView view="pageLayout" zoomScaleNormal="75" zoomScaleSheetLayoutView="100" workbookViewId="0" topLeftCell="B28">
      <selection activeCell="H5" sqref="H5:P5"/>
    </sheetView>
  </sheetViews>
  <sheetFormatPr defaultColWidth="9.00390625" defaultRowHeight="16.5"/>
  <cols>
    <col min="1" max="1" width="3.00390625" style="26" customWidth="1"/>
    <col min="2" max="3" width="9.125" style="26" customWidth="1"/>
    <col min="4" max="4" width="11.25390625" style="26" customWidth="1"/>
    <col min="5" max="5" width="10.125" style="26" customWidth="1"/>
    <col min="6" max="6" width="12.125" style="26" customWidth="1"/>
    <col min="7" max="7" width="8.50390625" style="26" customWidth="1"/>
    <col min="8" max="8" width="8.25390625" style="26" customWidth="1"/>
    <col min="9" max="9" width="8.625" style="26" customWidth="1"/>
    <col min="10" max="16" width="8.00390625" style="26" customWidth="1"/>
    <col min="17" max="17" width="10.125" style="26" customWidth="1"/>
    <col min="18" max="19" width="10.875" style="26" customWidth="1"/>
    <col min="20" max="20" width="11.00390625" style="26" customWidth="1"/>
    <col min="21" max="16384" width="9.00390625" style="26" customWidth="1"/>
  </cols>
  <sheetData>
    <row r="1" spans="1:21" s="35" customFormat="1" ht="21.75" customHeight="1">
      <c r="A1" s="505" t="s">
        <v>907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6" t="s">
        <v>207</v>
      </c>
      <c r="M1" s="506"/>
      <c r="N1" s="506"/>
      <c r="O1" s="506"/>
      <c r="P1" s="506"/>
      <c r="Q1" s="506"/>
      <c r="R1" s="506"/>
      <c r="S1" s="506"/>
      <c r="T1" s="506"/>
      <c r="U1" s="15"/>
    </row>
    <row r="2" spans="1:21" ht="7.5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19"/>
      <c r="N2" s="6"/>
      <c r="O2" s="2"/>
      <c r="P2" s="2"/>
      <c r="Q2" s="2"/>
      <c r="R2" s="2"/>
      <c r="S2" s="2"/>
      <c r="T2" s="2"/>
      <c r="U2" s="6"/>
    </row>
    <row r="3" spans="1:21" s="91" customFormat="1" ht="18" customHeight="1">
      <c r="A3" s="3"/>
      <c r="B3" s="16"/>
      <c r="C3" s="460" t="s">
        <v>831</v>
      </c>
      <c r="D3" s="460"/>
      <c r="E3" s="460"/>
      <c r="F3" s="460"/>
      <c r="G3" s="460"/>
      <c r="H3" s="460"/>
      <c r="I3" s="460"/>
      <c r="J3" s="4" t="s">
        <v>712</v>
      </c>
      <c r="L3" s="3"/>
      <c r="M3" s="461" t="s">
        <v>832</v>
      </c>
      <c r="N3" s="461"/>
      <c r="O3" s="461"/>
      <c r="P3" s="461"/>
      <c r="Q3" s="461"/>
      <c r="R3" s="461"/>
      <c r="S3" s="461"/>
      <c r="T3" s="69" t="s">
        <v>694</v>
      </c>
      <c r="U3" s="3"/>
    </row>
    <row r="4" spans="1:20" s="6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s="90" customFormat="1" ht="18" customHeight="1">
      <c r="A5" s="509"/>
      <c r="B5" s="509"/>
      <c r="C5" s="488"/>
      <c r="D5" s="507" t="s">
        <v>908</v>
      </c>
      <c r="E5" s="507" t="s">
        <v>909</v>
      </c>
      <c r="F5" s="507" t="s">
        <v>910</v>
      </c>
      <c r="G5" s="507" t="s">
        <v>911</v>
      </c>
      <c r="H5" s="495" t="s">
        <v>279</v>
      </c>
      <c r="I5" s="496"/>
      <c r="J5" s="496"/>
      <c r="K5" s="496"/>
      <c r="L5" s="496"/>
      <c r="M5" s="496"/>
      <c r="N5" s="496"/>
      <c r="O5" s="496"/>
      <c r="P5" s="514"/>
      <c r="Q5" s="495" t="s">
        <v>314</v>
      </c>
      <c r="R5" s="644"/>
      <c r="S5" s="644"/>
      <c r="T5" s="644"/>
      <c r="U5" s="17"/>
    </row>
    <row r="6" spans="1:21" s="90" customFormat="1" ht="72" customHeight="1">
      <c r="A6" s="510"/>
      <c r="B6" s="510"/>
      <c r="C6" s="511"/>
      <c r="D6" s="512"/>
      <c r="E6" s="512"/>
      <c r="F6" s="513"/>
      <c r="G6" s="508"/>
      <c r="H6" s="123" t="s">
        <v>271</v>
      </c>
      <c r="I6" s="123" t="s">
        <v>272</v>
      </c>
      <c r="J6" s="123" t="s">
        <v>273</v>
      </c>
      <c r="K6" s="52" t="s">
        <v>274</v>
      </c>
      <c r="L6" s="52" t="s">
        <v>269</v>
      </c>
      <c r="M6" s="123" t="s">
        <v>275</v>
      </c>
      <c r="N6" s="123" t="s">
        <v>276</v>
      </c>
      <c r="O6" s="123" t="s">
        <v>277</v>
      </c>
      <c r="P6" s="123" t="s">
        <v>278</v>
      </c>
      <c r="Q6" s="118" t="s">
        <v>913</v>
      </c>
      <c r="R6" s="117" t="s">
        <v>914</v>
      </c>
      <c r="S6" s="117" t="s">
        <v>915</v>
      </c>
      <c r="T6" s="120" t="s">
        <v>916</v>
      </c>
      <c r="U6" s="17"/>
    </row>
    <row r="7" spans="1:21" s="90" customFormat="1" ht="15.75" customHeight="1">
      <c r="A7" s="487" t="s">
        <v>917</v>
      </c>
      <c r="B7" s="488"/>
      <c r="C7" s="141" t="s">
        <v>834</v>
      </c>
      <c r="D7" s="130">
        <f>SUM(D10,'表31(續1)'!D7,'表31(續完)'!D7)</f>
        <v>25721</v>
      </c>
      <c r="E7" s="131">
        <f>SUM(E10,'表31(續1)'!E7,'表31(續完)'!E7)</f>
        <v>25718</v>
      </c>
      <c r="F7" s="131">
        <f>SUM(F10,'表31(續1)'!F7,'表31(續完)'!F7)</f>
        <v>3</v>
      </c>
      <c r="G7" s="131">
        <f>SUM(G10,'表31(續1)'!G7,'表31(續完)'!G7)/3</f>
        <v>29.833333333333332</v>
      </c>
      <c r="H7" s="131">
        <f>SUM(H10,'表31(續1)'!H7,'表31(續完)'!H7)</f>
        <v>1</v>
      </c>
      <c r="I7" s="131">
        <f>SUM(I10,'表31(續1)'!I7,'表31(續完)'!I7)</f>
        <v>1965</v>
      </c>
      <c r="J7" s="131">
        <f>SUM(J10,'表31(續1)'!J7,'表31(續完)'!J7)</f>
        <v>12027</v>
      </c>
      <c r="K7" s="131">
        <f>SUM(K10,'表31(續1)'!K7,'表31(續完)'!K7)</f>
        <v>7611</v>
      </c>
      <c r="L7" s="131">
        <f>SUM(L10,'表31(續1)'!L7,'表31(續完)'!L7)</f>
        <v>2753</v>
      </c>
      <c r="M7" s="131">
        <f>SUM(M10,'表31(續1)'!M7,'表31(續完)'!M7)</f>
        <v>1002</v>
      </c>
      <c r="N7" s="131">
        <f>SUM(N10,'表31(續1)'!N7,'表31(續完)'!N7)</f>
        <v>281</v>
      </c>
      <c r="O7" s="131">
        <f>SUM(O10,'表31(續1)'!O7,'表31(續完)'!O7)</f>
        <v>71</v>
      </c>
      <c r="P7" s="131">
        <f>SUM(P10,'表31(續1)'!P7,'表31(續完)'!P7)</f>
        <v>10</v>
      </c>
      <c r="Q7" s="131">
        <f>SUM(Q10,'表31(續1)'!Q7,'表31(續完)'!Q7)</f>
        <v>3974</v>
      </c>
      <c r="R7" s="131">
        <f>SUM(R10,'表31(續1)'!R7,'表31(續完)'!R7)</f>
        <v>17249</v>
      </c>
      <c r="S7" s="131">
        <f>SUM(S10,'表31(續1)'!S7,'表31(續完)'!S7)</f>
        <v>267</v>
      </c>
      <c r="T7" s="131">
        <f>SUM(T10,'表31(續1)'!T7,'表31(續完)'!T7)</f>
        <v>0</v>
      </c>
      <c r="U7" s="12"/>
    </row>
    <row r="8" spans="1:21" s="90" customFormat="1" ht="15.75" customHeight="1">
      <c r="A8" s="489"/>
      <c r="B8" s="490"/>
      <c r="C8" s="152" t="s">
        <v>835</v>
      </c>
      <c r="D8" s="24">
        <f>SUM(D11,'表31(續1)'!D8,'表31(續完)'!D8)</f>
        <v>11832</v>
      </c>
      <c r="E8" s="10">
        <f>SUM(E11,'表31(續1)'!E8,'表31(續完)'!E8)</f>
        <v>11829</v>
      </c>
      <c r="F8" s="10">
        <f>SUM(F11,'表31(續1)'!F8,'表31(續完)'!F8)</f>
        <v>3</v>
      </c>
      <c r="G8" s="10">
        <f>SUM(G11,'表31(續1)'!G8,'表31(續完)'!G8)/3</f>
        <v>30.866666666666664</v>
      </c>
      <c r="H8" s="10">
        <f>SUM(H11,'表31(續1)'!H8,'表31(續完)'!H8)</f>
        <v>0</v>
      </c>
      <c r="I8" s="10">
        <f>SUM(I11,'表31(續1)'!I8,'表31(續完)'!I8)</f>
        <v>240</v>
      </c>
      <c r="J8" s="10">
        <f>SUM(J11,'表31(續1)'!J8,'表31(續完)'!J8)</f>
        <v>4963</v>
      </c>
      <c r="K8" s="10">
        <f>SUM(K11,'表31(續1)'!K8,'表31(續完)'!K8)</f>
        <v>4153</v>
      </c>
      <c r="L8" s="10">
        <f>SUM(L11,'表31(續1)'!L8,'表31(續完)'!L8)</f>
        <v>1612</v>
      </c>
      <c r="M8" s="10">
        <f>SUM(M11,'表31(續1)'!M8,'表31(續完)'!M8)</f>
        <v>604</v>
      </c>
      <c r="N8" s="10">
        <f>SUM(N11,'表31(續1)'!N8,'表31(續完)'!N8)</f>
        <v>196</v>
      </c>
      <c r="O8" s="10">
        <f>SUM(O11,'表31(續1)'!O8,'表31(續完)'!O8)</f>
        <v>56</v>
      </c>
      <c r="P8" s="10">
        <f>SUM(P11,'表31(續1)'!P8,'表31(續完)'!P8)</f>
        <v>8</v>
      </c>
      <c r="Q8" s="10">
        <f>SUM(Q11,'表31(續1)'!Q8,'表31(續完)'!Q8)</f>
        <v>2424</v>
      </c>
      <c r="R8" s="10">
        <f>SUM(R11,'表31(續1)'!R8,'表31(續完)'!R8)</f>
        <v>7517</v>
      </c>
      <c r="S8" s="10">
        <f>SUM(S11,'表31(續1)'!S8,'表31(續完)'!S8)</f>
        <v>126</v>
      </c>
      <c r="T8" s="10">
        <f>SUM(T11,'表31(續1)'!T8,'表31(續完)'!T8)</f>
        <v>0</v>
      </c>
      <c r="U8" s="12"/>
    </row>
    <row r="9" spans="1:21" s="90" customFormat="1" ht="15.75" customHeight="1">
      <c r="A9" s="489"/>
      <c r="B9" s="490"/>
      <c r="C9" s="152" t="s">
        <v>836</v>
      </c>
      <c r="D9" s="24">
        <f>SUM(D12,'表31(續1)'!D9,'表31(續完)'!D9)</f>
        <v>13889</v>
      </c>
      <c r="E9" s="10">
        <f>SUM(E12,'表31(續1)'!E9,'表31(續完)'!E9)</f>
        <v>13889</v>
      </c>
      <c r="F9" s="10">
        <f>SUM(F12,'表31(續1)'!F9,'表31(續完)'!F9)</f>
        <v>0</v>
      </c>
      <c r="G9" s="10">
        <f>SUM(G12,'表31(續1)'!G9,'表31(續完)'!G9)/3</f>
        <v>28.53333333333333</v>
      </c>
      <c r="H9" s="10">
        <f>SUM(H12,'表31(續1)'!H9,'表31(續完)'!H9)</f>
        <v>1</v>
      </c>
      <c r="I9" s="10">
        <f>SUM(I12,'表31(續1)'!I9,'表31(續完)'!I9)</f>
        <v>1725</v>
      </c>
      <c r="J9" s="10">
        <f>SUM(J12,'表31(續1)'!J9,'表31(續完)'!J9)</f>
        <v>7064</v>
      </c>
      <c r="K9" s="10">
        <f>SUM(K12,'表31(續1)'!K9,'表31(續完)'!K9)</f>
        <v>3458</v>
      </c>
      <c r="L9" s="10">
        <f>SUM(L12,'表31(續1)'!L9,'表31(續完)'!L9)</f>
        <v>1141</v>
      </c>
      <c r="M9" s="10">
        <f>SUM(M12,'表31(續1)'!M9,'表31(續完)'!M9)</f>
        <v>398</v>
      </c>
      <c r="N9" s="10">
        <f>SUM(N12,'表31(續1)'!N9,'表31(續完)'!N9)</f>
        <v>85</v>
      </c>
      <c r="O9" s="10">
        <f>SUM(O12,'表31(續1)'!O9,'表31(續完)'!O9)</f>
        <v>15</v>
      </c>
      <c r="P9" s="10">
        <f>SUM(P12,'表31(續1)'!P9,'表31(續完)'!P9)</f>
        <v>2</v>
      </c>
      <c r="Q9" s="10">
        <f>SUM(Q12,'表31(續1)'!Q9,'表31(續完)'!Q9)</f>
        <v>1550</v>
      </c>
      <c r="R9" s="10">
        <f>SUM(R12,'表31(續1)'!R9,'表31(續完)'!R9)</f>
        <v>9732</v>
      </c>
      <c r="S9" s="10">
        <f>SUM(S12,'表31(續1)'!S9,'表31(續完)'!S9)</f>
        <v>141</v>
      </c>
      <c r="T9" s="10">
        <f>SUM(T12,'表31(續1)'!T9,'表31(續完)'!T9)</f>
        <v>0</v>
      </c>
      <c r="U9" s="12"/>
    </row>
    <row r="10" spans="1:21" s="90" customFormat="1" ht="15.75" customHeight="1">
      <c r="A10" s="491" t="s">
        <v>918</v>
      </c>
      <c r="B10" s="491" t="s">
        <v>270</v>
      </c>
      <c r="C10" s="141" t="s">
        <v>459</v>
      </c>
      <c r="D10" s="140">
        <f>SUM(D13,D16,D19,D22,D25,D28,D31,D34,D37,D40)</f>
        <v>15421</v>
      </c>
      <c r="E10" s="56">
        <f aca="true" t="shared" si="0" ref="E10:T10">SUM(E13,E16,E19,E22,E25,E28,E31,E34,E37,E40)</f>
        <v>15421</v>
      </c>
      <c r="F10" s="56">
        <f t="shared" si="0"/>
        <v>0</v>
      </c>
      <c r="G10" s="56">
        <f>SUM(G13,G16,G19,G22,G25,G28,G31,G34,G37,G40)/10</f>
        <v>29.5</v>
      </c>
      <c r="H10" s="56">
        <f t="shared" si="0"/>
        <v>0</v>
      </c>
      <c r="I10" s="56">
        <f t="shared" si="0"/>
        <v>956</v>
      </c>
      <c r="J10" s="56">
        <f t="shared" si="0"/>
        <v>7458</v>
      </c>
      <c r="K10" s="56">
        <f t="shared" si="0"/>
        <v>4835</v>
      </c>
      <c r="L10" s="56">
        <f t="shared" si="0"/>
        <v>1528</v>
      </c>
      <c r="M10" s="56">
        <f t="shared" si="0"/>
        <v>481</v>
      </c>
      <c r="N10" s="56">
        <f t="shared" si="0"/>
        <v>134</v>
      </c>
      <c r="O10" s="56">
        <f t="shared" si="0"/>
        <v>25</v>
      </c>
      <c r="P10" s="56">
        <f t="shared" si="0"/>
        <v>4</v>
      </c>
      <c r="Q10" s="56">
        <f t="shared" si="0"/>
        <v>3086</v>
      </c>
      <c r="R10" s="56">
        <f t="shared" si="0"/>
        <v>10413</v>
      </c>
      <c r="S10" s="56">
        <f t="shared" si="0"/>
        <v>13</v>
      </c>
      <c r="T10" s="56">
        <f t="shared" si="0"/>
        <v>0</v>
      </c>
      <c r="U10" s="12"/>
    </row>
    <row r="11" spans="1:21" s="90" customFormat="1" ht="15.75" customHeight="1">
      <c r="A11" s="492"/>
      <c r="B11" s="492"/>
      <c r="C11" s="152" t="s">
        <v>460</v>
      </c>
      <c r="D11" s="24">
        <f>SUM(D14,D17,D20,D23,D26,D29,D32,D35,D38,D41)</f>
        <v>7311</v>
      </c>
      <c r="E11" s="10">
        <f aca="true" t="shared" si="1" ref="E11:T11">SUM(E14,E17,E20,E23,E26,E29,E32,E35,E38,E41)</f>
        <v>7311</v>
      </c>
      <c r="F11" s="10">
        <f t="shared" si="1"/>
        <v>0</v>
      </c>
      <c r="G11" s="10">
        <f>SUM(G14,G17,G20,G23,G26,G29,G32,G35,G38,G41)/10</f>
        <v>30.6</v>
      </c>
      <c r="H11" s="10">
        <f t="shared" si="1"/>
        <v>0</v>
      </c>
      <c r="I11" s="10">
        <f t="shared" si="1"/>
        <v>112</v>
      </c>
      <c r="J11" s="10">
        <f t="shared" si="1"/>
        <v>3136</v>
      </c>
      <c r="K11" s="10">
        <f t="shared" si="1"/>
        <v>2702</v>
      </c>
      <c r="L11" s="10">
        <f t="shared" si="1"/>
        <v>929</v>
      </c>
      <c r="M11" s="10">
        <f t="shared" si="1"/>
        <v>300</v>
      </c>
      <c r="N11" s="10">
        <f t="shared" si="1"/>
        <v>105</v>
      </c>
      <c r="O11" s="10">
        <f t="shared" si="1"/>
        <v>23</v>
      </c>
      <c r="P11" s="10">
        <f t="shared" si="1"/>
        <v>4</v>
      </c>
      <c r="Q11" s="10">
        <f t="shared" si="1"/>
        <v>1834</v>
      </c>
      <c r="R11" s="10">
        <f t="shared" si="1"/>
        <v>4611</v>
      </c>
      <c r="S11" s="10">
        <f t="shared" si="1"/>
        <v>8</v>
      </c>
      <c r="T11" s="10">
        <f t="shared" si="1"/>
        <v>0</v>
      </c>
      <c r="U11" s="12"/>
    </row>
    <row r="12" spans="1:21" s="90" customFormat="1" ht="15.75" customHeight="1">
      <c r="A12" s="492"/>
      <c r="B12" s="493"/>
      <c r="C12" s="152" t="s">
        <v>461</v>
      </c>
      <c r="D12" s="24">
        <f>SUM(D15,D18,D21,D24,D27,D30,D33,D36,D39,D42)</f>
        <v>8110</v>
      </c>
      <c r="E12" s="10">
        <f aca="true" t="shared" si="2" ref="E12:T12">SUM(E15,E18,E21,E24,E27,E30,E33,E36,E39,E42)</f>
        <v>8110</v>
      </c>
      <c r="F12" s="10">
        <f t="shared" si="2"/>
        <v>0</v>
      </c>
      <c r="G12" s="10">
        <f>SUM(G15,G18,G21,G24,G27,G30,G33,G36,G39,G42)/10</f>
        <v>28.6</v>
      </c>
      <c r="H12" s="10">
        <f t="shared" si="2"/>
        <v>0</v>
      </c>
      <c r="I12" s="10">
        <f t="shared" si="2"/>
        <v>844</v>
      </c>
      <c r="J12" s="10">
        <f t="shared" si="2"/>
        <v>4322</v>
      </c>
      <c r="K12" s="10">
        <f t="shared" si="2"/>
        <v>2133</v>
      </c>
      <c r="L12" s="10">
        <f t="shared" si="2"/>
        <v>599</v>
      </c>
      <c r="M12" s="10">
        <f t="shared" si="2"/>
        <v>181</v>
      </c>
      <c r="N12" s="10">
        <f t="shared" si="2"/>
        <v>29</v>
      </c>
      <c r="O12" s="10">
        <f t="shared" si="2"/>
        <v>2</v>
      </c>
      <c r="P12" s="10">
        <f t="shared" si="2"/>
        <v>0</v>
      </c>
      <c r="Q12" s="10">
        <f t="shared" si="2"/>
        <v>1252</v>
      </c>
      <c r="R12" s="10">
        <f t="shared" si="2"/>
        <v>5802</v>
      </c>
      <c r="S12" s="10">
        <f t="shared" si="2"/>
        <v>5</v>
      </c>
      <c r="T12" s="10">
        <f t="shared" si="2"/>
        <v>0</v>
      </c>
      <c r="U12" s="12"/>
    </row>
    <row r="13" spans="1:21" s="90" customFormat="1" ht="15.75" customHeight="1">
      <c r="A13" s="492"/>
      <c r="B13" s="491" t="s">
        <v>495</v>
      </c>
      <c r="C13" s="141" t="s">
        <v>834</v>
      </c>
      <c r="D13" s="54">
        <f>SUM(D14:D15)</f>
        <v>1276</v>
      </c>
      <c r="E13" s="55">
        <v>1276</v>
      </c>
      <c r="F13" s="55">
        <v>0</v>
      </c>
      <c r="G13" s="55">
        <v>29</v>
      </c>
      <c r="H13" s="55">
        <v>0</v>
      </c>
      <c r="I13" s="55">
        <v>139</v>
      </c>
      <c r="J13" s="55">
        <v>658</v>
      </c>
      <c r="K13" s="55">
        <v>352</v>
      </c>
      <c r="L13" s="55">
        <v>91</v>
      </c>
      <c r="M13" s="55">
        <v>24</v>
      </c>
      <c r="N13" s="55">
        <v>12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12"/>
    </row>
    <row r="14" spans="1:21" s="90" customFormat="1" ht="15.75" customHeight="1">
      <c r="A14" s="492"/>
      <c r="B14" s="492"/>
      <c r="C14" s="152" t="s">
        <v>835</v>
      </c>
      <c r="D14" s="24">
        <v>561</v>
      </c>
      <c r="E14" s="10">
        <v>561</v>
      </c>
      <c r="F14" s="10">
        <v>0</v>
      </c>
      <c r="G14" s="10">
        <v>30</v>
      </c>
      <c r="H14" s="10">
        <v>0</v>
      </c>
      <c r="I14" s="10">
        <v>10</v>
      </c>
      <c r="J14" s="10">
        <v>276</v>
      </c>
      <c r="K14" s="10">
        <v>191</v>
      </c>
      <c r="L14" s="10">
        <v>61</v>
      </c>
      <c r="M14" s="10">
        <v>14</v>
      </c>
      <c r="N14" s="10">
        <v>9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2"/>
    </row>
    <row r="15" spans="1:21" s="90" customFormat="1" ht="15.75" customHeight="1">
      <c r="A15" s="492"/>
      <c r="B15" s="493"/>
      <c r="C15" s="152" t="s">
        <v>836</v>
      </c>
      <c r="D15" s="24">
        <v>715</v>
      </c>
      <c r="E15" s="10">
        <v>715</v>
      </c>
      <c r="F15" s="10">
        <v>0</v>
      </c>
      <c r="G15" s="10">
        <v>28</v>
      </c>
      <c r="H15" s="10">
        <v>0</v>
      </c>
      <c r="I15" s="10">
        <v>129</v>
      </c>
      <c r="J15" s="10">
        <v>382</v>
      </c>
      <c r="K15" s="10">
        <v>161</v>
      </c>
      <c r="L15" s="10">
        <v>30</v>
      </c>
      <c r="M15" s="10">
        <v>10</v>
      </c>
      <c r="N15" s="10">
        <v>3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2"/>
    </row>
    <row r="16" spans="1:21" s="90" customFormat="1" ht="15.75" customHeight="1">
      <c r="A16" s="492"/>
      <c r="B16" s="492" t="s">
        <v>490</v>
      </c>
      <c r="C16" s="141" t="s">
        <v>834</v>
      </c>
      <c r="D16" s="54">
        <v>633</v>
      </c>
      <c r="E16" s="55">
        <v>633</v>
      </c>
      <c r="F16" s="55">
        <v>0</v>
      </c>
      <c r="G16" s="55">
        <v>28</v>
      </c>
      <c r="H16" s="55">
        <v>0</v>
      </c>
      <c r="I16" s="55">
        <v>68</v>
      </c>
      <c r="J16" s="55">
        <v>331</v>
      </c>
      <c r="K16" s="55">
        <v>171</v>
      </c>
      <c r="L16" s="55">
        <v>51</v>
      </c>
      <c r="M16" s="55">
        <v>9</v>
      </c>
      <c r="N16" s="55">
        <v>3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12"/>
    </row>
    <row r="17" spans="1:21" s="90" customFormat="1" ht="15.75" customHeight="1">
      <c r="A17" s="492"/>
      <c r="B17" s="492"/>
      <c r="C17" s="152" t="s">
        <v>835</v>
      </c>
      <c r="D17" s="24">
        <v>297</v>
      </c>
      <c r="E17" s="10">
        <v>297</v>
      </c>
      <c r="F17" s="10">
        <v>0</v>
      </c>
      <c r="G17" s="10">
        <v>29</v>
      </c>
      <c r="H17" s="10">
        <v>0</v>
      </c>
      <c r="I17" s="10">
        <v>5</v>
      </c>
      <c r="J17" s="10">
        <v>148</v>
      </c>
      <c r="K17" s="10">
        <v>105</v>
      </c>
      <c r="L17" s="10">
        <v>33</v>
      </c>
      <c r="M17" s="10">
        <v>4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2"/>
    </row>
    <row r="18" spans="1:21" s="90" customFormat="1" ht="15.75" customHeight="1">
      <c r="A18" s="492"/>
      <c r="B18" s="492"/>
      <c r="C18" s="152" t="s">
        <v>836</v>
      </c>
      <c r="D18" s="24">
        <v>336</v>
      </c>
      <c r="E18" s="10">
        <v>336</v>
      </c>
      <c r="F18" s="10">
        <v>0</v>
      </c>
      <c r="G18" s="10">
        <v>28</v>
      </c>
      <c r="H18" s="10">
        <v>0</v>
      </c>
      <c r="I18" s="10">
        <v>63</v>
      </c>
      <c r="J18" s="10">
        <v>183</v>
      </c>
      <c r="K18" s="10">
        <v>66</v>
      </c>
      <c r="L18" s="10">
        <v>18</v>
      </c>
      <c r="M18" s="10">
        <v>5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2"/>
    </row>
    <row r="19" spans="1:21" s="90" customFormat="1" ht="15.75" customHeight="1">
      <c r="A19" s="492"/>
      <c r="B19" s="491" t="s">
        <v>505</v>
      </c>
      <c r="C19" s="141" t="s">
        <v>834</v>
      </c>
      <c r="D19" s="54">
        <v>1011</v>
      </c>
      <c r="E19" s="55">
        <v>1011</v>
      </c>
      <c r="F19" s="55">
        <v>0</v>
      </c>
      <c r="G19" s="55">
        <v>29</v>
      </c>
      <c r="H19" s="55">
        <v>0</v>
      </c>
      <c r="I19" s="55">
        <v>64</v>
      </c>
      <c r="J19" s="55">
        <v>531</v>
      </c>
      <c r="K19" s="55">
        <v>296</v>
      </c>
      <c r="L19" s="55">
        <v>93</v>
      </c>
      <c r="M19" s="55">
        <v>21</v>
      </c>
      <c r="N19" s="55">
        <v>3</v>
      </c>
      <c r="O19" s="55">
        <v>3</v>
      </c>
      <c r="P19" s="55">
        <v>0</v>
      </c>
      <c r="Q19" s="55">
        <v>128</v>
      </c>
      <c r="R19" s="55">
        <v>881</v>
      </c>
      <c r="S19" s="55">
        <v>2</v>
      </c>
      <c r="T19" s="55">
        <v>0</v>
      </c>
      <c r="U19" s="12"/>
    </row>
    <row r="20" spans="1:21" s="90" customFormat="1" ht="15.75" customHeight="1">
      <c r="A20" s="492"/>
      <c r="B20" s="492"/>
      <c r="C20" s="152" t="s">
        <v>835</v>
      </c>
      <c r="D20" s="24">
        <v>526</v>
      </c>
      <c r="E20" s="10">
        <v>526</v>
      </c>
      <c r="F20" s="10">
        <v>0</v>
      </c>
      <c r="G20" s="10">
        <v>30</v>
      </c>
      <c r="H20" s="10">
        <v>0</v>
      </c>
      <c r="I20" s="10">
        <v>7</v>
      </c>
      <c r="J20" s="10">
        <v>268</v>
      </c>
      <c r="K20" s="10">
        <v>177</v>
      </c>
      <c r="L20" s="10">
        <v>58</v>
      </c>
      <c r="M20" s="10">
        <v>10</v>
      </c>
      <c r="N20" s="10">
        <v>3</v>
      </c>
      <c r="O20" s="10">
        <v>3</v>
      </c>
      <c r="P20" s="10">
        <v>0</v>
      </c>
      <c r="Q20" s="10">
        <v>87</v>
      </c>
      <c r="R20" s="10">
        <v>439</v>
      </c>
      <c r="S20" s="10">
        <v>0</v>
      </c>
      <c r="T20" s="10">
        <v>0</v>
      </c>
      <c r="U20" s="12"/>
    </row>
    <row r="21" spans="1:21" s="90" customFormat="1" ht="15.75" customHeight="1">
      <c r="A21" s="492"/>
      <c r="B21" s="493"/>
      <c r="C21" s="152" t="s">
        <v>836</v>
      </c>
      <c r="D21" s="24">
        <v>485</v>
      </c>
      <c r="E21" s="10">
        <v>485</v>
      </c>
      <c r="F21" s="10">
        <v>0</v>
      </c>
      <c r="G21" s="10">
        <v>28</v>
      </c>
      <c r="H21" s="10">
        <v>0</v>
      </c>
      <c r="I21" s="10">
        <v>57</v>
      </c>
      <c r="J21" s="10">
        <v>263</v>
      </c>
      <c r="K21" s="10">
        <v>119</v>
      </c>
      <c r="L21" s="10">
        <v>35</v>
      </c>
      <c r="M21" s="10">
        <v>11</v>
      </c>
      <c r="N21" s="10">
        <v>0</v>
      </c>
      <c r="O21" s="10">
        <v>0</v>
      </c>
      <c r="P21" s="10">
        <v>0</v>
      </c>
      <c r="Q21" s="10">
        <v>41</v>
      </c>
      <c r="R21" s="10">
        <v>442</v>
      </c>
      <c r="S21" s="10">
        <v>2</v>
      </c>
      <c r="T21" s="10">
        <v>0</v>
      </c>
      <c r="U21" s="12"/>
    </row>
    <row r="22" spans="1:21" s="90" customFormat="1" ht="15.75" customHeight="1">
      <c r="A22" s="492"/>
      <c r="B22" s="492" t="s">
        <v>511</v>
      </c>
      <c r="C22" s="141" t="s">
        <v>834</v>
      </c>
      <c r="D22" s="54">
        <v>1321</v>
      </c>
      <c r="E22" s="55">
        <v>1321</v>
      </c>
      <c r="F22" s="55">
        <v>0</v>
      </c>
      <c r="G22" s="55">
        <v>30</v>
      </c>
      <c r="H22" s="55">
        <v>0</v>
      </c>
      <c r="I22" s="55">
        <v>92</v>
      </c>
      <c r="J22" s="55">
        <v>669</v>
      </c>
      <c r="K22" s="55">
        <v>400</v>
      </c>
      <c r="L22" s="55">
        <v>127</v>
      </c>
      <c r="M22" s="55">
        <v>28</v>
      </c>
      <c r="N22" s="55">
        <v>4</v>
      </c>
      <c r="O22" s="55">
        <v>1</v>
      </c>
      <c r="P22" s="55">
        <v>0</v>
      </c>
      <c r="Q22" s="55">
        <v>116</v>
      </c>
      <c r="R22" s="55">
        <v>1203</v>
      </c>
      <c r="S22" s="55">
        <v>2</v>
      </c>
      <c r="T22" s="55">
        <v>0</v>
      </c>
      <c r="U22" s="12"/>
    </row>
    <row r="23" spans="1:21" s="90" customFormat="1" ht="15.75" customHeight="1">
      <c r="A23" s="492"/>
      <c r="B23" s="492"/>
      <c r="C23" s="152" t="s">
        <v>835</v>
      </c>
      <c r="D23" s="24">
        <v>600</v>
      </c>
      <c r="E23" s="10">
        <v>600</v>
      </c>
      <c r="F23" s="10">
        <v>0</v>
      </c>
      <c r="G23" s="10">
        <v>32</v>
      </c>
      <c r="H23" s="10">
        <v>0</v>
      </c>
      <c r="I23" s="10">
        <v>15</v>
      </c>
      <c r="J23" s="10">
        <v>261</v>
      </c>
      <c r="K23" s="10">
        <v>233</v>
      </c>
      <c r="L23" s="10">
        <v>70</v>
      </c>
      <c r="M23" s="10">
        <v>16</v>
      </c>
      <c r="N23" s="10">
        <v>4</v>
      </c>
      <c r="O23" s="10">
        <v>1</v>
      </c>
      <c r="P23" s="10">
        <v>0</v>
      </c>
      <c r="Q23" s="10">
        <v>74</v>
      </c>
      <c r="R23" s="10">
        <v>525</v>
      </c>
      <c r="S23" s="10">
        <v>1</v>
      </c>
      <c r="T23" s="10">
        <v>0</v>
      </c>
      <c r="U23" s="12"/>
    </row>
    <row r="24" spans="1:21" s="90" customFormat="1" ht="15.75" customHeight="1">
      <c r="A24" s="499" t="s">
        <v>384</v>
      </c>
      <c r="B24" s="492"/>
      <c r="C24" s="152" t="s">
        <v>836</v>
      </c>
      <c r="D24" s="10">
        <v>721</v>
      </c>
      <c r="E24" s="10">
        <v>721</v>
      </c>
      <c r="F24" s="10">
        <v>0</v>
      </c>
      <c r="G24" s="10">
        <v>28</v>
      </c>
      <c r="H24" s="10">
        <v>0</v>
      </c>
      <c r="I24" s="10">
        <v>77</v>
      </c>
      <c r="J24" s="10">
        <v>408</v>
      </c>
      <c r="K24" s="10">
        <v>167</v>
      </c>
      <c r="L24" s="10">
        <v>57</v>
      </c>
      <c r="M24" s="10">
        <v>12</v>
      </c>
      <c r="N24" s="10">
        <v>0</v>
      </c>
      <c r="O24" s="10">
        <v>0</v>
      </c>
      <c r="P24" s="10">
        <v>0</v>
      </c>
      <c r="Q24" s="10">
        <v>42</v>
      </c>
      <c r="R24" s="10">
        <v>678</v>
      </c>
      <c r="S24" s="10">
        <v>1</v>
      </c>
      <c r="T24" s="10">
        <v>0</v>
      </c>
      <c r="U24" s="12"/>
    </row>
    <row r="25" spans="1:21" s="90" customFormat="1" ht="15.75" customHeight="1">
      <c r="A25" s="500"/>
      <c r="B25" s="491" t="s">
        <v>491</v>
      </c>
      <c r="C25" s="141" t="s">
        <v>834</v>
      </c>
      <c r="D25" s="54">
        <v>1205</v>
      </c>
      <c r="E25" s="55">
        <v>1205</v>
      </c>
      <c r="F25" s="55">
        <v>0</v>
      </c>
      <c r="G25" s="55">
        <v>30</v>
      </c>
      <c r="H25" s="55">
        <v>0</v>
      </c>
      <c r="I25" s="55">
        <v>62</v>
      </c>
      <c r="J25" s="55">
        <v>543</v>
      </c>
      <c r="K25" s="55">
        <v>424</v>
      </c>
      <c r="L25" s="55">
        <v>121</v>
      </c>
      <c r="M25" s="55">
        <v>41</v>
      </c>
      <c r="N25" s="55">
        <v>13</v>
      </c>
      <c r="O25" s="55">
        <v>1</v>
      </c>
      <c r="P25" s="55">
        <v>0</v>
      </c>
      <c r="Q25" s="55">
        <v>98</v>
      </c>
      <c r="R25" s="55">
        <v>1106</v>
      </c>
      <c r="S25" s="55">
        <v>1</v>
      </c>
      <c r="T25" s="55">
        <v>0</v>
      </c>
      <c r="U25" s="12"/>
    </row>
    <row r="26" spans="1:21" s="90" customFormat="1" ht="15.75" customHeight="1">
      <c r="A26" s="500"/>
      <c r="B26" s="492"/>
      <c r="C26" s="152" t="s">
        <v>835</v>
      </c>
      <c r="D26" s="24">
        <v>620</v>
      </c>
      <c r="E26" s="10">
        <v>620</v>
      </c>
      <c r="F26" s="10">
        <v>0</v>
      </c>
      <c r="G26" s="10">
        <v>31</v>
      </c>
      <c r="H26" s="10">
        <v>0</v>
      </c>
      <c r="I26" s="10">
        <v>6</v>
      </c>
      <c r="J26" s="10">
        <v>239</v>
      </c>
      <c r="K26" s="10">
        <v>259</v>
      </c>
      <c r="L26" s="10">
        <v>79</v>
      </c>
      <c r="M26" s="10">
        <v>26</v>
      </c>
      <c r="N26" s="10">
        <v>10</v>
      </c>
      <c r="O26" s="10">
        <v>1</v>
      </c>
      <c r="P26" s="10">
        <v>0</v>
      </c>
      <c r="Q26" s="10">
        <v>63</v>
      </c>
      <c r="R26" s="10">
        <v>557</v>
      </c>
      <c r="S26" s="10">
        <v>0</v>
      </c>
      <c r="T26" s="10">
        <v>0</v>
      </c>
      <c r="U26" s="12"/>
    </row>
    <row r="27" spans="1:21" s="90" customFormat="1" ht="15.75" customHeight="1">
      <c r="A27" s="500"/>
      <c r="B27" s="493"/>
      <c r="C27" s="152" t="s">
        <v>836</v>
      </c>
      <c r="D27" s="10">
        <v>585</v>
      </c>
      <c r="E27" s="10">
        <v>585</v>
      </c>
      <c r="F27" s="10">
        <v>0</v>
      </c>
      <c r="G27" s="10">
        <v>29</v>
      </c>
      <c r="H27" s="10">
        <v>0</v>
      </c>
      <c r="I27" s="10">
        <v>56</v>
      </c>
      <c r="J27" s="10">
        <v>304</v>
      </c>
      <c r="K27" s="10">
        <v>165</v>
      </c>
      <c r="L27" s="10">
        <v>42</v>
      </c>
      <c r="M27" s="10">
        <v>15</v>
      </c>
      <c r="N27" s="10">
        <v>3</v>
      </c>
      <c r="O27" s="10">
        <v>0</v>
      </c>
      <c r="P27" s="10">
        <v>0</v>
      </c>
      <c r="Q27" s="10">
        <v>35</v>
      </c>
      <c r="R27" s="10">
        <v>549</v>
      </c>
      <c r="S27" s="10">
        <v>1</v>
      </c>
      <c r="T27" s="10">
        <v>0</v>
      </c>
      <c r="U27" s="12"/>
    </row>
    <row r="28" spans="1:21" s="90" customFormat="1" ht="15.75" customHeight="1">
      <c r="A28" s="500"/>
      <c r="B28" s="491" t="s">
        <v>510</v>
      </c>
      <c r="C28" s="141" t="s">
        <v>834</v>
      </c>
      <c r="D28" s="54">
        <v>1483</v>
      </c>
      <c r="E28" s="55">
        <v>1483</v>
      </c>
      <c r="F28" s="55">
        <v>0</v>
      </c>
      <c r="G28" s="55">
        <v>30</v>
      </c>
      <c r="H28" s="55">
        <v>0</v>
      </c>
      <c r="I28" s="55">
        <v>61</v>
      </c>
      <c r="J28" s="55">
        <v>719</v>
      </c>
      <c r="K28" s="55">
        <v>495</v>
      </c>
      <c r="L28" s="55">
        <v>157</v>
      </c>
      <c r="M28" s="55">
        <v>38</v>
      </c>
      <c r="N28" s="55">
        <v>8</v>
      </c>
      <c r="O28" s="55">
        <v>4</v>
      </c>
      <c r="P28" s="55">
        <v>1</v>
      </c>
      <c r="Q28" s="55">
        <v>311</v>
      </c>
      <c r="R28" s="55">
        <v>1169</v>
      </c>
      <c r="S28" s="55">
        <v>3</v>
      </c>
      <c r="T28" s="55">
        <v>0</v>
      </c>
      <c r="U28" s="12"/>
    </row>
    <row r="29" spans="1:21" s="90" customFormat="1" ht="15.75" customHeight="1">
      <c r="A29" s="500"/>
      <c r="B29" s="492"/>
      <c r="C29" s="152" t="s">
        <v>835</v>
      </c>
      <c r="D29" s="24">
        <v>722</v>
      </c>
      <c r="E29" s="10">
        <v>722</v>
      </c>
      <c r="F29" s="10">
        <v>0</v>
      </c>
      <c r="G29" s="10">
        <v>31</v>
      </c>
      <c r="H29" s="10">
        <v>0</v>
      </c>
      <c r="I29" s="10">
        <v>10</v>
      </c>
      <c r="J29" s="10">
        <v>294</v>
      </c>
      <c r="K29" s="10">
        <v>279</v>
      </c>
      <c r="L29" s="10">
        <v>101</v>
      </c>
      <c r="M29" s="10">
        <v>27</v>
      </c>
      <c r="N29" s="10">
        <v>6</v>
      </c>
      <c r="O29" s="10">
        <v>4</v>
      </c>
      <c r="P29" s="10">
        <v>1</v>
      </c>
      <c r="Q29" s="10">
        <v>181</v>
      </c>
      <c r="R29" s="10">
        <v>538</v>
      </c>
      <c r="S29" s="10">
        <v>3</v>
      </c>
      <c r="T29" s="10">
        <v>0</v>
      </c>
      <c r="U29" s="12"/>
    </row>
    <row r="30" spans="1:21" s="90" customFormat="1" ht="15.75" customHeight="1">
      <c r="A30" s="500"/>
      <c r="B30" s="493"/>
      <c r="C30" s="152" t="s">
        <v>836</v>
      </c>
      <c r="D30" s="10">
        <v>761</v>
      </c>
      <c r="E30" s="10">
        <v>761</v>
      </c>
      <c r="F30" s="10">
        <v>0</v>
      </c>
      <c r="G30" s="10">
        <v>29</v>
      </c>
      <c r="H30" s="10">
        <v>0</v>
      </c>
      <c r="I30" s="10">
        <v>51</v>
      </c>
      <c r="J30" s="10">
        <v>425</v>
      </c>
      <c r="K30" s="10">
        <v>216</v>
      </c>
      <c r="L30" s="10">
        <v>56</v>
      </c>
      <c r="M30" s="10">
        <v>11</v>
      </c>
      <c r="N30" s="10">
        <v>2</v>
      </c>
      <c r="O30" s="10">
        <v>0</v>
      </c>
      <c r="P30" s="10">
        <v>0</v>
      </c>
      <c r="Q30" s="10">
        <v>130</v>
      </c>
      <c r="R30" s="10">
        <v>631</v>
      </c>
      <c r="S30" s="10">
        <v>0</v>
      </c>
      <c r="T30" s="10">
        <v>0</v>
      </c>
      <c r="U30" s="12"/>
    </row>
    <row r="31" spans="1:21" s="90" customFormat="1" ht="15.75" customHeight="1">
      <c r="A31" s="500"/>
      <c r="B31" s="491" t="s">
        <v>512</v>
      </c>
      <c r="C31" s="141" t="s">
        <v>834</v>
      </c>
      <c r="D31" s="54">
        <v>1994</v>
      </c>
      <c r="E31" s="55">
        <v>1994</v>
      </c>
      <c r="F31" s="55">
        <v>0</v>
      </c>
      <c r="G31" s="55">
        <v>30</v>
      </c>
      <c r="H31" s="55">
        <v>0</v>
      </c>
      <c r="I31" s="55">
        <v>87</v>
      </c>
      <c r="J31" s="55">
        <v>898</v>
      </c>
      <c r="K31" s="55">
        <v>677</v>
      </c>
      <c r="L31" s="55">
        <v>222</v>
      </c>
      <c r="M31" s="55">
        <v>76</v>
      </c>
      <c r="N31" s="55">
        <v>33</v>
      </c>
      <c r="O31" s="55">
        <v>1</v>
      </c>
      <c r="P31" s="55">
        <v>0</v>
      </c>
      <c r="Q31" s="55">
        <v>195</v>
      </c>
      <c r="R31" s="55">
        <v>1798</v>
      </c>
      <c r="S31" s="55">
        <v>1</v>
      </c>
      <c r="T31" s="55">
        <v>0</v>
      </c>
      <c r="U31" s="12"/>
    </row>
    <row r="32" spans="1:21" s="90" customFormat="1" ht="15.75" customHeight="1">
      <c r="A32" s="500"/>
      <c r="B32" s="492"/>
      <c r="C32" s="152" t="s">
        <v>835</v>
      </c>
      <c r="D32" s="24">
        <v>964</v>
      </c>
      <c r="E32" s="10">
        <v>964</v>
      </c>
      <c r="F32" s="10">
        <v>0</v>
      </c>
      <c r="G32" s="10">
        <v>31</v>
      </c>
      <c r="H32" s="10">
        <v>0</v>
      </c>
      <c r="I32" s="10">
        <v>13</v>
      </c>
      <c r="J32" s="10">
        <v>364</v>
      </c>
      <c r="K32" s="10">
        <v>375</v>
      </c>
      <c r="L32" s="10">
        <v>139</v>
      </c>
      <c r="M32" s="10">
        <v>46</v>
      </c>
      <c r="N32" s="10">
        <v>26</v>
      </c>
      <c r="O32" s="10">
        <v>1</v>
      </c>
      <c r="P32" s="10">
        <v>0</v>
      </c>
      <c r="Q32" s="10">
        <v>117</v>
      </c>
      <c r="R32" s="10">
        <v>846</v>
      </c>
      <c r="S32" s="10">
        <v>1</v>
      </c>
      <c r="T32" s="10">
        <v>0</v>
      </c>
      <c r="U32" s="12"/>
    </row>
    <row r="33" spans="1:21" s="90" customFormat="1" ht="15.75" customHeight="1">
      <c r="A33" s="500"/>
      <c r="B33" s="492"/>
      <c r="C33" s="152" t="s">
        <v>836</v>
      </c>
      <c r="D33" s="10">
        <v>1030</v>
      </c>
      <c r="E33" s="10">
        <v>1030</v>
      </c>
      <c r="F33" s="10">
        <v>0</v>
      </c>
      <c r="G33" s="10">
        <v>29</v>
      </c>
      <c r="H33" s="10">
        <v>0</v>
      </c>
      <c r="I33" s="10">
        <v>74</v>
      </c>
      <c r="J33" s="10">
        <v>534</v>
      </c>
      <c r="K33" s="10">
        <v>302</v>
      </c>
      <c r="L33" s="10">
        <v>83</v>
      </c>
      <c r="M33" s="10">
        <v>30</v>
      </c>
      <c r="N33" s="10">
        <v>7</v>
      </c>
      <c r="O33" s="10">
        <v>0</v>
      </c>
      <c r="P33" s="10">
        <v>0</v>
      </c>
      <c r="Q33" s="10">
        <v>78</v>
      </c>
      <c r="R33" s="10">
        <v>952</v>
      </c>
      <c r="S33" s="10">
        <v>0</v>
      </c>
      <c r="T33" s="10">
        <v>0</v>
      </c>
      <c r="U33" s="12"/>
    </row>
    <row r="34" spans="1:21" s="90" customFormat="1" ht="15.75" customHeight="1">
      <c r="A34" s="500"/>
      <c r="B34" s="491" t="s">
        <v>500</v>
      </c>
      <c r="C34" s="141" t="s">
        <v>834</v>
      </c>
      <c r="D34" s="54">
        <v>2281</v>
      </c>
      <c r="E34" s="55">
        <v>2281</v>
      </c>
      <c r="F34" s="55">
        <v>0</v>
      </c>
      <c r="G34" s="55">
        <v>30</v>
      </c>
      <c r="H34" s="55">
        <v>0</v>
      </c>
      <c r="I34" s="55">
        <v>151</v>
      </c>
      <c r="J34" s="55">
        <v>1061</v>
      </c>
      <c r="K34" s="55">
        <v>701</v>
      </c>
      <c r="L34" s="55">
        <v>252</v>
      </c>
      <c r="M34" s="55">
        <v>92</v>
      </c>
      <c r="N34" s="55">
        <v>18</v>
      </c>
      <c r="O34" s="55">
        <v>4</v>
      </c>
      <c r="P34" s="55">
        <v>2</v>
      </c>
      <c r="Q34" s="55">
        <v>267</v>
      </c>
      <c r="R34" s="55">
        <v>2012</v>
      </c>
      <c r="S34" s="55">
        <v>2</v>
      </c>
      <c r="T34" s="55">
        <v>0</v>
      </c>
      <c r="U34" s="12"/>
    </row>
    <row r="35" spans="1:21" s="90" customFormat="1" ht="15.75" customHeight="1">
      <c r="A35" s="500"/>
      <c r="B35" s="492"/>
      <c r="C35" s="152" t="s">
        <v>835</v>
      </c>
      <c r="D35" s="24">
        <v>1016</v>
      </c>
      <c r="E35" s="10">
        <v>1016</v>
      </c>
      <c r="F35" s="10">
        <v>0</v>
      </c>
      <c r="G35" s="10">
        <v>31</v>
      </c>
      <c r="H35" s="10">
        <v>0</v>
      </c>
      <c r="I35" s="10">
        <v>15</v>
      </c>
      <c r="J35" s="10">
        <v>403</v>
      </c>
      <c r="K35" s="10">
        <v>371</v>
      </c>
      <c r="L35" s="10">
        <v>146</v>
      </c>
      <c r="M35" s="10">
        <v>63</v>
      </c>
      <c r="N35" s="10">
        <v>13</v>
      </c>
      <c r="O35" s="10">
        <v>3</v>
      </c>
      <c r="P35" s="10">
        <v>2</v>
      </c>
      <c r="Q35" s="10">
        <v>151</v>
      </c>
      <c r="R35" s="10">
        <v>864</v>
      </c>
      <c r="S35" s="10">
        <v>1</v>
      </c>
      <c r="T35" s="10">
        <v>0</v>
      </c>
      <c r="U35" s="12"/>
    </row>
    <row r="36" spans="1:21" s="90" customFormat="1" ht="15.75" customHeight="1">
      <c r="A36" s="500"/>
      <c r="B36" s="492"/>
      <c r="C36" s="152" t="s">
        <v>836</v>
      </c>
      <c r="D36" s="24">
        <v>1265</v>
      </c>
      <c r="E36" s="10">
        <v>1265</v>
      </c>
      <c r="F36" s="10">
        <v>0</v>
      </c>
      <c r="G36" s="10">
        <v>29</v>
      </c>
      <c r="H36" s="10">
        <v>0</v>
      </c>
      <c r="I36" s="10">
        <v>136</v>
      </c>
      <c r="J36" s="10">
        <v>658</v>
      </c>
      <c r="K36" s="10">
        <v>330</v>
      </c>
      <c r="L36" s="10">
        <v>106</v>
      </c>
      <c r="M36" s="10">
        <v>29</v>
      </c>
      <c r="N36" s="10">
        <v>5</v>
      </c>
      <c r="O36" s="10">
        <v>1</v>
      </c>
      <c r="P36" s="10">
        <v>0</v>
      </c>
      <c r="Q36" s="10">
        <v>116</v>
      </c>
      <c r="R36" s="10">
        <v>1148</v>
      </c>
      <c r="S36" s="10">
        <v>1</v>
      </c>
      <c r="T36" s="10">
        <v>0</v>
      </c>
      <c r="U36" s="12"/>
    </row>
    <row r="37" spans="1:21" s="90" customFormat="1" ht="15.75" customHeight="1">
      <c r="A37" s="500"/>
      <c r="B37" s="491" t="s">
        <v>506</v>
      </c>
      <c r="C37" s="141" t="s">
        <v>834</v>
      </c>
      <c r="D37" s="54">
        <v>2133</v>
      </c>
      <c r="E37" s="55">
        <v>2133</v>
      </c>
      <c r="F37" s="55">
        <v>0</v>
      </c>
      <c r="G37" s="55">
        <v>30</v>
      </c>
      <c r="H37" s="55">
        <v>0</v>
      </c>
      <c r="I37" s="55">
        <v>112</v>
      </c>
      <c r="J37" s="55">
        <v>1009</v>
      </c>
      <c r="K37" s="55">
        <v>681</v>
      </c>
      <c r="L37" s="55">
        <v>219</v>
      </c>
      <c r="M37" s="55">
        <v>81</v>
      </c>
      <c r="N37" s="55">
        <v>24</v>
      </c>
      <c r="O37" s="55">
        <v>7</v>
      </c>
      <c r="P37" s="55">
        <v>0</v>
      </c>
      <c r="Q37" s="55">
        <v>1049</v>
      </c>
      <c r="R37" s="55">
        <v>1082</v>
      </c>
      <c r="S37" s="55">
        <v>2</v>
      </c>
      <c r="T37" s="55">
        <v>0</v>
      </c>
      <c r="U37" s="12"/>
    </row>
    <row r="38" spans="1:21" s="90" customFormat="1" ht="15.75" customHeight="1">
      <c r="A38" s="500"/>
      <c r="B38" s="492"/>
      <c r="C38" s="152" t="s">
        <v>835</v>
      </c>
      <c r="D38" s="10">
        <v>1082</v>
      </c>
      <c r="E38" s="10">
        <v>1082</v>
      </c>
      <c r="F38" s="10">
        <v>0</v>
      </c>
      <c r="G38" s="10">
        <v>31</v>
      </c>
      <c r="H38" s="10">
        <v>0</v>
      </c>
      <c r="I38" s="10">
        <v>14</v>
      </c>
      <c r="J38" s="10">
        <v>465</v>
      </c>
      <c r="K38" s="10">
        <v>387</v>
      </c>
      <c r="L38" s="10">
        <v>136</v>
      </c>
      <c r="M38" s="10">
        <v>53</v>
      </c>
      <c r="N38" s="10">
        <v>21</v>
      </c>
      <c r="O38" s="10">
        <v>6</v>
      </c>
      <c r="P38" s="10">
        <v>0</v>
      </c>
      <c r="Q38" s="10">
        <v>644</v>
      </c>
      <c r="R38" s="10">
        <v>436</v>
      </c>
      <c r="S38" s="10">
        <v>2</v>
      </c>
      <c r="T38" s="10">
        <v>0</v>
      </c>
      <c r="U38" s="12"/>
    </row>
    <row r="39" spans="1:21" s="90" customFormat="1" ht="15.75" customHeight="1">
      <c r="A39" s="500"/>
      <c r="B39" s="493"/>
      <c r="C39" s="152" t="s">
        <v>836</v>
      </c>
      <c r="D39" s="24">
        <v>1051</v>
      </c>
      <c r="E39" s="10">
        <v>1051</v>
      </c>
      <c r="F39" s="10">
        <v>0</v>
      </c>
      <c r="G39" s="10">
        <v>29</v>
      </c>
      <c r="H39" s="10">
        <v>0</v>
      </c>
      <c r="I39" s="10">
        <v>98</v>
      </c>
      <c r="J39" s="10">
        <v>544</v>
      </c>
      <c r="K39" s="10">
        <v>294</v>
      </c>
      <c r="L39" s="10">
        <v>83</v>
      </c>
      <c r="M39" s="10">
        <v>28</v>
      </c>
      <c r="N39" s="10">
        <v>3</v>
      </c>
      <c r="O39" s="10">
        <v>1</v>
      </c>
      <c r="P39" s="10">
        <v>0</v>
      </c>
      <c r="Q39" s="10">
        <v>405</v>
      </c>
      <c r="R39" s="10">
        <v>646</v>
      </c>
      <c r="S39" s="10">
        <v>0</v>
      </c>
      <c r="T39" s="10">
        <v>0</v>
      </c>
      <c r="U39" s="12"/>
    </row>
    <row r="40" spans="1:21" ht="15.75" customHeight="1">
      <c r="A40" s="500"/>
      <c r="B40" s="494" t="s">
        <v>513</v>
      </c>
      <c r="C40" s="141" t="s">
        <v>834</v>
      </c>
      <c r="D40" s="55">
        <v>2084</v>
      </c>
      <c r="E40" s="55">
        <v>2084</v>
      </c>
      <c r="F40" s="55">
        <v>0</v>
      </c>
      <c r="G40" s="55">
        <v>29</v>
      </c>
      <c r="H40" s="55">
        <v>0</v>
      </c>
      <c r="I40" s="55">
        <v>120</v>
      </c>
      <c r="J40" s="55">
        <v>1039</v>
      </c>
      <c r="K40" s="55">
        <v>638</v>
      </c>
      <c r="L40" s="55">
        <v>195</v>
      </c>
      <c r="M40" s="55">
        <v>71</v>
      </c>
      <c r="N40" s="55">
        <v>16</v>
      </c>
      <c r="O40" s="55">
        <v>4</v>
      </c>
      <c r="P40" s="55">
        <v>1</v>
      </c>
      <c r="Q40" s="55">
        <v>922</v>
      </c>
      <c r="R40" s="55">
        <v>1162</v>
      </c>
      <c r="S40" s="55">
        <v>0</v>
      </c>
      <c r="T40" s="133">
        <v>0</v>
      </c>
      <c r="U40" s="12"/>
    </row>
    <row r="41" spans="1:21" ht="15.75" customHeight="1">
      <c r="A41" s="500"/>
      <c r="B41" s="494"/>
      <c r="C41" s="152" t="s">
        <v>835</v>
      </c>
      <c r="D41" s="10">
        <v>923</v>
      </c>
      <c r="E41" s="10">
        <v>923</v>
      </c>
      <c r="F41" s="10">
        <v>0</v>
      </c>
      <c r="G41" s="10">
        <v>30</v>
      </c>
      <c r="H41" s="10">
        <v>0</v>
      </c>
      <c r="I41" s="10">
        <v>17</v>
      </c>
      <c r="J41" s="10">
        <v>418</v>
      </c>
      <c r="K41" s="10">
        <v>325</v>
      </c>
      <c r="L41" s="10">
        <v>106</v>
      </c>
      <c r="M41" s="10">
        <v>41</v>
      </c>
      <c r="N41" s="10">
        <v>11</v>
      </c>
      <c r="O41" s="10">
        <v>4</v>
      </c>
      <c r="P41" s="10">
        <v>1</v>
      </c>
      <c r="Q41" s="10">
        <v>517</v>
      </c>
      <c r="R41" s="10">
        <v>406</v>
      </c>
      <c r="S41" s="10">
        <v>0</v>
      </c>
      <c r="T41" s="134">
        <v>0</v>
      </c>
      <c r="U41" s="12"/>
    </row>
    <row r="42" spans="1:21" ht="15.75" customHeight="1">
      <c r="A42" s="501"/>
      <c r="B42" s="494"/>
      <c r="C42" s="152" t="s">
        <v>836</v>
      </c>
      <c r="D42" s="132">
        <v>1161</v>
      </c>
      <c r="E42" s="31">
        <v>1161</v>
      </c>
      <c r="F42" s="31">
        <v>0</v>
      </c>
      <c r="G42" s="31">
        <v>29</v>
      </c>
      <c r="H42" s="31">
        <v>0</v>
      </c>
      <c r="I42" s="31">
        <v>103</v>
      </c>
      <c r="J42" s="31">
        <v>621</v>
      </c>
      <c r="K42" s="31">
        <v>313</v>
      </c>
      <c r="L42" s="31">
        <v>89</v>
      </c>
      <c r="M42" s="31">
        <v>30</v>
      </c>
      <c r="N42" s="31">
        <v>5</v>
      </c>
      <c r="O42" s="31">
        <v>0</v>
      </c>
      <c r="P42" s="31">
        <v>0</v>
      </c>
      <c r="Q42" s="31">
        <v>405</v>
      </c>
      <c r="R42" s="31">
        <v>756</v>
      </c>
      <c r="S42" s="31">
        <v>0</v>
      </c>
      <c r="T42" s="135">
        <v>0</v>
      </c>
      <c r="U42" s="12"/>
    </row>
    <row r="43" spans="1:21" ht="21.75" customHeight="1">
      <c r="A43" s="502" t="s">
        <v>919</v>
      </c>
      <c r="B43" s="502"/>
      <c r="C43" s="502"/>
      <c r="D43" s="503"/>
      <c r="E43" s="503"/>
      <c r="F43" s="503"/>
      <c r="G43" s="503"/>
      <c r="H43" s="503"/>
      <c r="I43" s="503"/>
      <c r="J43" s="503"/>
      <c r="K43" s="503"/>
      <c r="L43" s="57"/>
      <c r="M43" s="57"/>
      <c r="N43" s="57"/>
      <c r="O43" s="57"/>
      <c r="P43" s="57"/>
      <c r="Q43" s="57"/>
      <c r="R43" s="57"/>
      <c r="S43" s="57"/>
      <c r="T43" s="57"/>
      <c r="U43" s="6"/>
    </row>
    <row r="44" spans="1:21" ht="32.25" customHeight="1">
      <c r="A44" s="497" t="s">
        <v>750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ht="15.75">
      <c r="U46" s="6"/>
    </row>
    <row r="47" spans="1:21" ht="16.5" customHeight="1">
      <c r="A47" s="486" t="str">
        <f>"- "&amp;Sheet1!B32&amp;" -"</f>
        <v>- 188 -</v>
      </c>
      <c r="B47" s="486"/>
      <c r="C47" s="486"/>
      <c r="D47" s="486"/>
      <c r="E47" s="486"/>
      <c r="F47" s="486"/>
      <c r="G47" s="486"/>
      <c r="H47" s="486"/>
      <c r="I47" s="486"/>
      <c r="J47" s="486"/>
      <c r="K47" s="504" t="str">
        <f>"- "&amp;Sheet1!C32&amp;" -"</f>
        <v>- 189 -</v>
      </c>
      <c r="L47" s="504"/>
      <c r="M47" s="504"/>
      <c r="N47" s="504"/>
      <c r="O47" s="504"/>
      <c r="P47" s="504"/>
      <c r="Q47" s="504"/>
      <c r="R47" s="504"/>
      <c r="S47" s="504"/>
      <c r="T47" s="504"/>
      <c r="U47" s="6"/>
    </row>
  </sheetData>
  <sheetProtection/>
  <mergeCells count="29">
    <mergeCell ref="K47:T47"/>
    <mergeCell ref="M3:S3"/>
    <mergeCell ref="A1:K1"/>
    <mergeCell ref="L1:T1"/>
    <mergeCell ref="G5:G6"/>
    <mergeCell ref="A5:C6"/>
    <mergeCell ref="D5:D6"/>
    <mergeCell ref="E5:E6"/>
    <mergeCell ref="F5:F6"/>
    <mergeCell ref="H5:P5"/>
    <mergeCell ref="Q5:T5"/>
    <mergeCell ref="A44:K44"/>
    <mergeCell ref="B31:B33"/>
    <mergeCell ref="B37:B39"/>
    <mergeCell ref="A24:A42"/>
    <mergeCell ref="B25:B27"/>
    <mergeCell ref="B28:B30"/>
    <mergeCell ref="B34:B36"/>
    <mergeCell ref="A43:K43"/>
    <mergeCell ref="C3:I3"/>
    <mergeCell ref="A47:J47"/>
    <mergeCell ref="A7:B9"/>
    <mergeCell ref="B13:B15"/>
    <mergeCell ref="B19:B21"/>
    <mergeCell ref="B22:B24"/>
    <mergeCell ref="B40:B42"/>
    <mergeCell ref="B16:B18"/>
    <mergeCell ref="A10:A23"/>
    <mergeCell ref="B10:B12"/>
  </mergeCells>
  <printOptions/>
  <pageMargins left="0.6299212598425197" right="0.3937007874015748" top="0.5511811023622047" bottom="0" header="0.5118110236220472" footer="0.708661417322834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9"/>
  <sheetViews>
    <sheetView view="pageLayout" zoomScale="70" zoomScaleNormal="70" zoomScaleSheetLayoutView="85" zoomScalePageLayoutView="70" workbookViewId="0" topLeftCell="A1">
      <selection activeCell="Q5" sqref="Q5:T5"/>
    </sheetView>
  </sheetViews>
  <sheetFormatPr defaultColWidth="9.00390625" defaultRowHeight="16.5"/>
  <cols>
    <col min="1" max="1" width="2.75390625" style="26" customWidth="1"/>
    <col min="2" max="2" width="9.00390625" style="26" customWidth="1"/>
    <col min="3" max="3" width="7.875" style="26" customWidth="1"/>
    <col min="4" max="4" width="10.75390625" style="26" customWidth="1"/>
    <col min="5" max="5" width="9.75390625" style="26" customWidth="1"/>
    <col min="6" max="6" width="10.25390625" style="26" customWidth="1"/>
    <col min="7" max="7" width="7.875" style="26" customWidth="1"/>
    <col min="8" max="8" width="8.00390625" style="26" customWidth="1"/>
    <col min="9" max="16" width="8.625" style="26" customWidth="1"/>
    <col min="17" max="17" width="9.625" style="26" customWidth="1"/>
    <col min="18" max="18" width="10.00390625" style="26" customWidth="1"/>
    <col min="19" max="19" width="10.50390625" style="26" customWidth="1"/>
    <col min="20" max="20" width="12.00390625" style="26" customWidth="1"/>
    <col min="21" max="16384" width="9.00390625" style="26" customWidth="1"/>
  </cols>
  <sheetData>
    <row r="1" spans="1:20" s="35" customFormat="1" ht="21.75" customHeight="1">
      <c r="A1" s="505" t="s">
        <v>920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486" t="s">
        <v>208</v>
      </c>
      <c r="M1" s="486"/>
      <c r="N1" s="486"/>
      <c r="O1" s="486"/>
      <c r="P1" s="486"/>
      <c r="Q1" s="486"/>
      <c r="R1" s="486"/>
      <c r="S1" s="486"/>
      <c r="T1" s="486"/>
    </row>
    <row r="2" spans="1:20" ht="7.5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19"/>
      <c r="N2" s="6"/>
      <c r="O2" s="2"/>
      <c r="P2" s="2"/>
      <c r="Q2" s="2"/>
      <c r="R2" s="2"/>
      <c r="S2" s="2"/>
      <c r="T2" s="2"/>
    </row>
    <row r="3" spans="1:20" s="91" customFormat="1" ht="18" customHeight="1">
      <c r="A3" s="3"/>
      <c r="B3" s="16"/>
      <c r="C3" s="460" t="s">
        <v>831</v>
      </c>
      <c r="D3" s="461"/>
      <c r="E3" s="461"/>
      <c r="F3" s="461"/>
      <c r="G3" s="461"/>
      <c r="H3" s="461"/>
      <c r="I3" s="461"/>
      <c r="J3" s="461"/>
      <c r="K3" s="4" t="s">
        <v>712</v>
      </c>
      <c r="L3" s="3"/>
      <c r="M3" s="461" t="s">
        <v>832</v>
      </c>
      <c r="N3" s="461"/>
      <c r="O3" s="461"/>
      <c r="P3" s="461"/>
      <c r="Q3" s="461"/>
      <c r="R3" s="461"/>
      <c r="S3" s="461"/>
      <c r="T3" s="69" t="s">
        <v>694</v>
      </c>
    </row>
    <row r="4" spans="1:20" s="6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90" customFormat="1" ht="18" customHeight="1">
      <c r="A5" s="509"/>
      <c r="B5" s="509"/>
      <c r="C5" s="488"/>
      <c r="D5" s="507" t="s">
        <v>908</v>
      </c>
      <c r="E5" s="507" t="s">
        <v>909</v>
      </c>
      <c r="F5" s="507" t="s">
        <v>910</v>
      </c>
      <c r="G5" s="507" t="s">
        <v>911</v>
      </c>
      <c r="H5" s="495" t="s">
        <v>912</v>
      </c>
      <c r="I5" s="496"/>
      <c r="J5" s="496"/>
      <c r="K5" s="496"/>
      <c r="L5" s="496"/>
      <c r="M5" s="496"/>
      <c r="N5" s="496"/>
      <c r="O5" s="496"/>
      <c r="P5" s="514"/>
      <c r="Q5" s="495" t="s">
        <v>314</v>
      </c>
      <c r="R5" s="496"/>
      <c r="S5" s="496"/>
      <c r="T5" s="496"/>
    </row>
    <row r="6" spans="1:20" s="90" customFormat="1" ht="72" customHeight="1">
      <c r="A6" s="510"/>
      <c r="B6" s="510"/>
      <c r="C6" s="511"/>
      <c r="D6" s="512"/>
      <c r="E6" s="512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913</v>
      </c>
      <c r="R6" s="117" t="s">
        <v>914</v>
      </c>
      <c r="S6" s="117" t="s">
        <v>915</v>
      </c>
      <c r="T6" s="120" t="s">
        <v>916</v>
      </c>
    </row>
    <row r="7" spans="1:21" s="90" customFormat="1" ht="15.75" customHeight="1">
      <c r="A7" s="491" t="s">
        <v>921</v>
      </c>
      <c r="B7" s="507" t="s">
        <v>181</v>
      </c>
      <c r="C7" s="141" t="s">
        <v>719</v>
      </c>
      <c r="D7" s="54">
        <f>SUM(D10,D13,D16,D19,D22,D25,D28,D31,D34,D37)</f>
        <v>6116</v>
      </c>
      <c r="E7" s="56">
        <f aca="true" t="shared" si="0" ref="E7:T7">SUM(E10,E13,E16,E19,E22,E25,E28,E31,E34,E37)</f>
        <v>6114</v>
      </c>
      <c r="F7" s="56">
        <f t="shared" si="0"/>
        <v>2</v>
      </c>
      <c r="G7" s="56">
        <v>30</v>
      </c>
      <c r="H7" s="56">
        <f t="shared" si="0"/>
        <v>0</v>
      </c>
      <c r="I7" s="56">
        <f t="shared" si="0"/>
        <v>483</v>
      </c>
      <c r="J7" s="56">
        <f t="shared" si="0"/>
        <v>2848</v>
      </c>
      <c r="K7" s="56">
        <f t="shared" si="0"/>
        <v>1720</v>
      </c>
      <c r="L7" s="56">
        <f t="shared" si="0"/>
        <v>688</v>
      </c>
      <c r="M7" s="56">
        <f t="shared" si="0"/>
        <v>275</v>
      </c>
      <c r="N7" s="56">
        <f t="shared" si="0"/>
        <v>76</v>
      </c>
      <c r="O7" s="56">
        <f t="shared" si="0"/>
        <v>23</v>
      </c>
      <c r="P7" s="56">
        <f t="shared" si="0"/>
        <v>3</v>
      </c>
      <c r="Q7" s="56">
        <f t="shared" si="0"/>
        <v>719</v>
      </c>
      <c r="R7" s="56">
        <f t="shared" si="0"/>
        <v>3866</v>
      </c>
      <c r="S7" s="56">
        <f t="shared" si="0"/>
        <v>111</v>
      </c>
      <c r="T7" s="55">
        <f t="shared" si="0"/>
        <v>0</v>
      </c>
      <c r="U7" s="312"/>
    </row>
    <row r="8" spans="1:21" s="90" customFormat="1" ht="15.75" customHeight="1">
      <c r="A8" s="372"/>
      <c r="B8" s="516"/>
      <c r="C8" s="143" t="s">
        <v>720</v>
      </c>
      <c r="D8" s="24">
        <f>SUM(D11,D14,D17,D20,D23,D26,D29,D32,D35,D38)</f>
        <v>3149</v>
      </c>
      <c r="E8" s="10">
        <f aca="true" t="shared" si="1" ref="E8:T8">SUM(E11,E14,E17,E20,E23,E26,E29,E32,E35,E38)</f>
        <v>3147</v>
      </c>
      <c r="F8" s="10">
        <f t="shared" si="1"/>
        <v>2</v>
      </c>
      <c r="G8" s="10">
        <v>31</v>
      </c>
      <c r="H8" s="10">
        <f t="shared" si="1"/>
        <v>0</v>
      </c>
      <c r="I8" s="10">
        <f t="shared" si="1"/>
        <v>72</v>
      </c>
      <c r="J8" s="10">
        <f t="shared" si="1"/>
        <v>1306</v>
      </c>
      <c r="K8" s="10">
        <f t="shared" si="1"/>
        <v>1041</v>
      </c>
      <c r="L8" s="10">
        <f t="shared" si="1"/>
        <v>462</v>
      </c>
      <c r="M8" s="10">
        <f t="shared" si="1"/>
        <v>193</v>
      </c>
      <c r="N8" s="10">
        <f t="shared" si="1"/>
        <v>54</v>
      </c>
      <c r="O8" s="10">
        <f t="shared" si="1"/>
        <v>18</v>
      </c>
      <c r="P8" s="10">
        <f t="shared" si="1"/>
        <v>3</v>
      </c>
      <c r="Q8" s="10">
        <f t="shared" si="1"/>
        <v>496</v>
      </c>
      <c r="R8" s="10">
        <f t="shared" si="1"/>
        <v>2010</v>
      </c>
      <c r="S8" s="10">
        <f t="shared" si="1"/>
        <v>53</v>
      </c>
      <c r="T8" s="10">
        <f t="shared" si="1"/>
        <v>0</v>
      </c>
      <c r="U8" s="312"/>
    </row>
    <row r="9" spans="1:21" s="90" customFormat="1" ht="15.75" customHeight="1">
      <c r="A9" s="372"/>
      <c r="B9" s="517"/>
      <c r="C9" s="144" t="s">
        <v>721</v>
      </c>
      <c r="D9" s="24">
        <f>SUM(D12,D15,D18,D21,D24,D27,D30,D33,D36,D39)</f>
        <v>2967</v>
      </c>
      <c r="E9" s="10">
        <f aca="true" t="shared" si="2" ref="E9:T9">SUM(E12,E15,E18,E21,E24,E27,E30,E33,E36,E39)</f>
        <v>2967</v>
      </c>
      <c r="F9" s="10">
        <f t="shared" si="2"/>
        <v>0</v>
      </c>
      <c r="G9" s="10">
        <v>28</v>
      </c>
      <c r="H9" s="10">
        <f t="shared" si="2"/>
        <v>0</v>
      </c>
      <c r="I9" s="10">
        <f t="shared" si="2"/>
        <v>411</v>
      </c>
      <c r="J9" s="10">
        <f t="shared" si="2"/>
        <v>1542</v>
      </c>
      <c r="K9" s="10">
        <f t="shared" si="2"/>
        <v>679</v>
      </c>
      <c r="L9" s="10">
        <f t="shared" si="2"/>
        <v>226</v>
      </c>
      <c r="M9" s="10">
        <f t="shared" si="2"/>
        <v>82</v>
      </c>
      <c r="N9" s="10">
        <f t="shared" si="2"/>
        <v>22</v>
      </c>
      <c r="O9" s="10">
        <f t="shared" si="2"/>
        <v>5</v>
      </c>
      <c r="P9" s="10">
        <f t="shared" si="2"/>
        <v>0</v>
      </c>
      <c r="Q9" s="10">
        <f t="shared" si="2"/>
        <v>223</v>
      </c>
      <c r="R9" s="10">
        <f t="shared" si="2"/>
        <v>1856</v>
      </c>
      <c r="S9" s="10">
        <f t="shared" si="2"/>
        <v>58</v>
      </c>
      <c r="T9" s="10">
        <f t="shared" si="2"/>
        <v>0</v>
      </c>
      <c r="U9" s="312"/>
    </row>
    <row r="10" spans="1:21" s="90" customFormat="1" ht="15.75" customHeight="1">
      <c r="A10" s="372"/>
      <c r="B10" s="491" t="s">
        <v>501</v>
      </c>
      <c r="C10" s="141" t="s">
        <v>719</v>
      </c>
      <c r="D10" s="54">
        <v>933</v>
      </c>
      <c r="E10" s="55">
        <v>933</v>
      </c>
      <c r="F10" s="55">
        <v>0</v>
      </c>
      <c r="G10" s="55">
        <v>29</v>
      </c>
      <c r="H10" s="55">
        <v>0</v>
      </c>
      <c r="I10" s="55">
        <v>142</v>
      </c>
      <c r="J10" s="55">
        <v>418</v>
      </c>
      <c r="K10" s="55">
        <v>254</v>
      </c>
      <c r="L10" s="55">
        <v>77</v>
      </c>
      <c r="M10" s="55">
        <v>34</v>
      </c>
      <c r="N10" s="55">
        <v>7</v>
      </c>
      <c r="O10" s="55">
        <v>1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312"/>
    </row>
    <row r="11" spans="1:21" s="90" customFormat="1" ht="15.75" customHeight="1">
      <c r="A11" s="372"/>
      <c r="B11" s="492"/>
      <c r="C11" s="143" t="s">
        <v>720</v>
      </c>
      <c r="D11" s="24">
        <v>356</v>
      </c>
      <c r="E11" s="10">
        <v>356</v>
      </c>
      <c r="F11" s="10">
        <v>0</v>
      </c>
      <c r="G11" s="10">
        <v>30</v>
      </c>
      <c r="H11" s="10">
        <v>0</v>
      </c>
      <c r="I11" s="10">
        <v>13</v>
      </c>
      <c r="J11" s="10">
        <v>164</v>
      </c>
      <c r="K11" s="10">
        <v>113</v>
      </c>
      <c r="L11" s="10">
        <v>43</v>
      </c>
      <c r="M11" s="10">
        <v>20</v>
      </c>
      <c r="N11" s="10">
        <v>2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312"/>
    </row>
    <row r="12" spans="1:21" s="90" customFormat="1" ht="15.75" customHeight="1">
      <c r="A12" s="372"/>
      <c r="B12" s="493"/>
      <c r="C12" s="144" t="s">
        <v>721</v>
      </c>
      <c r="D12" s="24">
        <v>577</v>
      </c>
      <c r="E12" s="10">
        <v>577</v>
      </c>
      <c r="F12" s="10">
        <v>0</v>
      </c>
      <c r="G12" s="10">
        <v>28</v>
      </c>
      <c r="H12" s="10">
        <v>0</v>
      </c>
      <c r="I12" s="10">
        <v>129</v>
      </c>
      <c r="J12" s="10">
        <v>254</v>
      </c>
      <c r="K12" s="10">
        <v>141</v>
      </c>
      <c r="L12" s="10">
        <v>34</v>
      </c>
      <c r="M12" s="10">
        <v>14</v>
      </c>
      <c r="N12" s="10">
        <v>5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312"/>
    </row>
    <row r="13" spans="1:21" s="90" customFormat="1" ht="15.75" customHeight="1">
      <c r="A13" s="372"/>
      <c r="B13" s="492" t="s">
        <v>508</v>
      </c>
      <c r="C13" s="141" t="s">
        <v>719</v>
      </c>
      <c r="D13" s="54">
        <v>486</v>
      </c>
      <c r="E13" s="55">
        <v>486</v>
      </c>
      <c r="F13" s="55">
        <v>0</v>
      </c>
      <c r="G13" s="55">
        <v>28</v>
      </c>
      <c r="H13" s="55">
        <v>0</v>
      </c>
      <c r="I13" s="55">
        <v>48</v>
      </c>
      <c r="J13" s="55">
        <v>259</v>
      </c>
      <c r="K13" s="55">
        <v>128</v>
      </c>
      <c r="L13" s="55">
        <v>42</v>
      </c>
      <c r="M13" s="55">
        <v>7</v>
      </c>
      <c r="N13" s="55">
        <v>1</v>
      </c>
      <c r="O13" s="55">
        <v>1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312"/>
    </row>
    <row r="14" spans="1:21" s="90" customFormat="1" ht="15.75" customHeight="1">
      <c r="A14" s="372"/>
      <c r="B14" s="492"/>
      <c r="C14" s="143" t="s">
        <v>720</v>
      </c>
      <c r="D14" s="24">
        <v>233</v>
      </c>
      <c r="E14" s="10">
        <v>233</v>
      </c>
      <c r="F14" s="10">
        <v>0</v>
      </c>
      <c r="G14" s="10">
        <v>30</v>
      </c>
      <c r="H14" s="10">
        <v>0</v>
      </c>
      <c r="I14" s="10">
        <v>5</v>
      </c>
      <c r="J14" s="10">
        <v>104</v>
      </c>
      <c r="K14" s="10">
        <v>87</v>
      </c>
      <c r="L14" s="10">
        <v>31</v>
      </c>
      <c r="M14" s="10">
        <v>5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312"/>
    </row>
    <row r="15" spans="1:21" s="90" customFormat="1" ht="15.75" customHeight="1">
      <c r="A15" s="372"/>
      <c r="B15" s="492"/>
      <c r="C15" s="144" t="s">
        <v>721</v>
      </c>
      <c r="D15" s="24">
        <v>253</v>
      </c>
      <c r="E15" s="10">
        <v>253</v>
      </c>
      <c r="F15" s="10">
        <v>0</v>
      </c>
      <c r="G15" s="10">
        <v>27</v>
      </c>
      <c r="H15" s="10">
        <v>0</v>
      </c>
      <c r="I15" s="10">
        <v>43</v>
      </c>
      <c r="J15" s="10">
        <v>155</v>
      </c>
      <c r="K15" s="10">
        <v>41</v>
      </c>
      <c r="L15" s="10">
        <v>11</v>
      </c>
      <c r="M15" s="10">
        <v>2</v>
      </c>
      <c r="N15" s="10">
        <v>0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312"/>
    </row>
    <row r="16" spans="1:21" s="90" customFormat="1" ht="15.75" customHeight="1">
      <c r="A16" s="372"/>
      <c r="B16" s="491" t="s">
        <v>502</v>
      </c>
      <c r="C16" s="141" t="s">
        <v>719</v>
      </c>
      <c r="D16" s="54">
        <v>370</v>
      </c>
      <c r="E16" s="55">
        <v>370</v>
      </c>
      <c r="F16" s="55">
        <v>0</v>
      </c>
      <c r="G16" s="55">
        <v>29</v>
      </c>
      <c r="H16" s="55">
        <v>0</v>
      </c>
      <c r="I16" s="55">
        <v>29</v>
      </c>
      <c r="J16" s="55">
        <v>190</v>
      </c>
      <c r="K16" s="55">
        <v>100</v>
      </c>
      <c r="L16" s="55">
        <v>37</v>
      </c>
      <c r="M16" s="55">
        <v>13</v>
      </c>
      <c r="N16" s="55">
        <v>1</v>
      </c>
      <c r="O16" s="55">
        <v>0</v>
      </c>
      <c r="P16" s="55">
        <v>0</v>
      </c>
      <c r="Q16" s="55">
        <v>21</v>
      </c>
      <c r="R16" s="55">
        <v>341</v>
      </c>
      <c r="S16" s="55">
        <v>8</v>
      </c>
      <c r="T16" s="55">
        <v>0</v>
      </c>
      <c r="U16" s="312"/>
    </row>
    <row r="17" spans="1:21" s="90" customFormat="1" ht="15.75" customHeight="1">
      <c r="A17" s="372"/>
      <c r="B17" s="492"/>
      <c r="C17" s="143" t="s">
        <v>720</v>
      </c>
      <c r="D17" s="24">
        <v>194</v>
      </c>
      <c r="E17" s="10">
        <v>194</v>
      </c>
      <c r="F17" s="10">
        <v>0</v>
      </c>
      <c r="G17" s="10">
        <v>30</v>
      </c>
      <c r="H17" s="10">
        <v>0</v>
      </c>
      <c r="I17" s="10">
        <v>5</v>
      </c>
      <c r="J17" s="10">
        <v>91</v>
      </c>
      <c r="K17" s="10">
        <v>63</v>
      </c>
      <c r="L17" s="10">
        <v>24</v>
      </c>
      <c r="M17" s="10">
        <v>10</v>
      </c>
      <c r="N17" s="10">
        <v>1</v>
      </c>
      <c r="O17" s="10">
        <v>0</v>
      </c>
      <c r="P17" s="10">
        <v>0</v>
      </c>
      <c r="Q17" s="10">
        <v>19</v>
      </c>
      <c r="R17" s="10">
        <v>171</v>
      </c>
      <c r="S17" s="10">
        <v>4</v>
      </c>
      <c r="T17" s="10">
        <v>0</v>
      </c>
      <c r="U17" s="312"/>
    </row>
    <row r="18" spans="1:21" s="90" customFormat="1" ht="15.75" customHeight="1">
      <c r="A18" s="372"/>
      <c r="B18" s="493"/>
      <c r="C18" s="144" t="s">
        <v>721</v>
      </c>
      <c r="D18" s="24">
        <v>176</v>
      </c>
      <c r="E18" s="10">
        <v>176</v>
      </c>
      <c r="F18" s="10">
        <v>0</v>
      </c>
      <c r="G18" s="10">
        <v>28</v>
      </c>
      <c r="H18" s="10">
        <v>0</v>
      </c>
      <c r="I18" s="10">
        <v>24</v>
      </c>
      <c r="J18" s="10">
        <v>99</v>
      </c>
      <c r="K18" s="10">
        <v>37</v>
      </c>
      <c r="L18" s="10">
        <v>13</v>
      </c>
      <c r="M18" s="10">
        <v>3</v>
      </c>
      <c r="N18" s="10">
        <v>0</v>
      </c>
      <c r="O18" s="10">
        <v>0</v>
      </c>
      <c r="P18" s="10">
        <v>0</v>
      </c>
      <c r="Q18" s="10">
        <v>2</v>
      </c>
      <c r="R18" s="10">
        <v>170</v>
      </c>
      <c r="S18" s="10">
        <v>4</v>
      </c>
      <c r="T18" s="10">
        <v>0</v>
      </c>
      <c r="U18" s="312"/>
    </row>
    <row r="19" spans="1:21" s="90" customFormat="1" ht="15.75" customHeight="1">
      <c r="A19" s="372"/>
      <c r="B19" s="492" t="s">
        <v>509</v>
      </c>
      <c r="C19" s="141" t="s">
        <v>719</v>
      </c>
      <c r="D19" s="54">
        <v>453</v>
      </c>
      <c r="E19" s="55">
        <v>453</v>
      </c>
      <c r="F19" s="55">
        <v>0</v>
      </c>
      <c r="G19" s="55">
        <v>30</v>
      </c>
      <c r="H19" s="55">
        <v>0</v>
      </c>
      <c r="I19" s="55">
        <v>24</v>
      </c>
      <c r="J19" s="55">
        <v>198</v>
      </c>
      <c r="K19" s="55">
        <v>152</v>
      </c>
      <c r="L19" s="55">
        <v>57</v>
      </c>
      <c r="M19" s="55">
        <v>16</v>
      </c>
      <c r="N19" s="55">
        <v>3</v>
      </c>
      <c r="O19" s="55">
        <v>3</v>
      </c>
      <c r="P19" s="55">
        <v>0</v>
      </c>
      <c r="Q19" s="55">
        <v>12</v>
      </c>
      <c r="R19" s="55">
        <v>435</v>
      </c>
      <c r="S19" s="55">
        <v>6</v>
      </c>
      <c r="T19" s="55">
        <v>0</v>
      </c>
      <c r="U19" s="312"/>
    </row>
    <row r="20" spans="1:21" s="90" customFormat="1" ht="15.75" customHeight="1">
      <c r="A20" s="372"/>
      <c r="B20" s="492"/>
      <c r="C20" s="143" t="s">
        <v>720</v>
      </c>
      <c r="D20" s="24">
        <v>235</v>
      </c>
      <c r="E20" s="10">
        <v>235</v>
      </c>
      <c r="F20" s="10">
        <v>0</v>
      </c>
      <c r="G20" s="10">
        <v>31</v>
      </c>
      <c r="H20" s="10">
        <v>0</v>
      </c>
      <c r="I20" s="10">
        <v>2</v>
      </c>
      <c r="J20" s="10">
        <v>104</v>
      </c>
      <c r="K20" s="10">
        <v>87</v>
      </c>
      <c r="L20" s="10">
        <v>29</v>
      </c>
      <c r="M20" s="10">
        <v>8</v>
      </c>
      <c r="N20" s="10">
        <v>2</v>
      </c>
      <c r="O20" s="10">
        <v>3</v>
      </c>
      <c r="P20" s="10">
        <v>0</v>
      </c>
      <c r="Q20" s="10">
        <v>9</v>
      </c>
      <c r="R20" s="10">
        <v>225</v>
      </c>
      <c r="S20" s="10">
        <v>1</v>
      </c>
      <c r="T20" s="10">
        <v>0</v>
      </c>
      <c r="U20" s="312"/>
    </row>
    <row r="21" spans="1:21" s="90" customFormat="1" ht="15.75" customHeight="1">
      <c r="A21" s="372"/>
      <c r="B21" s="492"/>
      <c r="C21" s="144" t="s">
        <v>721</v>
      </c>
      <c r="D21" s="24">
        <v>218</v>
      </c>
      <c r="E21" s="10">
        <v>218</v>
      </c>
      <c r="F21" s="10">
        <v>0</v>
      </c>
      <c r="G21" s="10">
        <v>29</v>
      </c>
      <c r="H21" s="10">
        <v>0</v>
      </c>
      <c r="I21" s="10">
        <v>22</v>
      </c>
      <c r="J21" s="10">
        <v>94</v>
      </c>
      <c r="K21" s="10">
        <v>65</v>
      </c>
      <c r="L21" s="10">
        <v>28</v>
      </c>
      <c r="M21" s="10">
        <v>8</v>
      </c>
      <c r="N21" s="10">
        <v>1</v>
      </c>
      <c r="O21" s="10">
        <v>0</v>
      </c>
      <c r="P21" s="10">
        <v>0</v>
      </c>
      <c r="Q21" s="10">
        <v>3</v>
      </c>
      <c r="R21" s="10">
        <v>210</v>
      </c>
      <c r="S21" s="10">
        <v>5</v>
      </c>
      <c r="T21" s="10">
        <v>0</v>
      </c>
      <c r="U21" s="312"/>
    </row>
    <row r="22" spans="1:21" s="90" customFormat="1" ht="15.75" customHeight="1">
      <c r="A22" s="372"/>
      <c r="B22" s="491" t="s">
        <v>497</v>
      </c>
      <c r="C22" s="141" t="s">
        <v>719</v>
      </c>
      <c r="D22" s="54">
        <v>442</v>
      </c>
      <c r="E22" s="55">
        <v>442</v>
      </c>
      <c r="F22" s="55">
        <v>0</v>
      </c>
      <c r="G22" s="55">
        <v>30</v>
      </c>
      <c r="H22" s="55">
        <v>0</v>
      </c>
      <c r="I22" s="55">
        <v>24</v>
      </c>
      <c r="J22" s="55">
        <v>205</v>
      </c>
      <c r="K22" s="55">
        <v>135</v>
      </c>
      <c r="L22" s="55">
        <v>53</v>
      </c>
      <c r="M22" s="55">
        <v>16</v>
      </c>
      <c r="N22" s="55">
        <v>7</v>
      </c>
      <c r="O22" s="55">
        <v>2</v>
      </c>
      <c r="P22" s="55">
        <v>0</v>
      </c>
      <c r="Q22" s="55">
        <v>14</v>
      </c>
      <c r="R22" s="55">
        <v>407</v>
      </c>
      <c r="S22" s="55">
        <v>21</v>
      </c>
      <c r="T22" s="55">
        <v>0</v>
      </c>
      <c r="U22" s="312"/>
    </row>
    <row r="23" spans="1:21" s="90" customFormat="1" ht="15.75" customHeight="1">
      <c r="A23" s="372"/>
      <c r="B23" s="492"/>
      <c r="C23" s="143" t="s">
        <v>720</v>
      </c>
      <c r="D23" s="24">
        <v>265</v>
      </c>
      <c r="E23" s="10">
        <v>265</v>
      </c>
      <c r="F23" s="10">
        <v>0</v>
      </c>
      <c r="G23" s="10">
        <v>31</v>
      </c>
      <c r="H23" s="10">
        <v>0</v>
      </c>
      <c r="I23" s="10">
        <v>7</v>
      </c>
      <c r="J23" s="10">
        <v>102</v>
      </c>
      <c r="K23" s="10">
        <v>99</v>
      </c>
      <c r="L23" s="10">
        <v>38</v>
      </c>
      <c r="M23" s="10">
        <v>14</v>
      </c>
      <c r="N23" s="10">
        <v>5</v>
      </c>
      <c r="O23" s="10">
        <v>0</v>
      </c>
      <c r="P23" s="10">
        <v>0</v>
      </c>
      <c r="Q23" s="10">
        <v>11</v>
      </c>
      <c r="R23" s="10">
        <v>245</v>
      </c>
      <c r="S23" s="10">
        <v>9</v>
      </c>
      <c r="T23" s="10">
        <v>0</v>
      </c>
      <c r="U23" s="312"/>
    </row>
    <row r="24" spans="1:21" s="90" customFormat="1" ht="15.75" customHeight="1">
      <c r="A24" s="372"/>
      <c r="B24" s="493"/>
      <c r="C24" s="144" t="s">
        <v>721</v>
      </c>
      <c r="D24" s="24">
        <v>177</v>
      </c>
      <c r="E24" s="10">
        <v>177</v>
      </c>
      <c r="F24" s="10">
        <v>0</v>
      </c>
      <c r="G24" s="10">
        <v>29</v>
      </c>
      <c r="H24" s="10">
        <v>0</v>
      </c>
      <c r="I24" s="10">
        <v>17</v>
      </c>
      <c r="J24" s="10">
        <v>103</v>
      </c>
      <c r="K24" s="10">
        <v>36</v>
      </c>
      <c r="L24" s="10">
        <v>15</v>
      </c>
      <c r="M24" s="10">
        <v>2</v>
      </c>
      <c r="N24" s="10">
        <v>2</v>
      </c>
      <c r="O24" s="10">
        <v>2</v>
      </c>
      <c r="P24" s="10">
        <v>0</v>
      </c>
      <c r="Q24" s="10">
        <v>3</v>
      </c>
      <c r="R24" s="10">
        <v>162</v>
      </c>
      <c r="S24" s="10">
        <v>12</v>
      </c>
      <c r="T24" s="10">
        <v>0</v>
      </c>
      <c r="U24" s="312"/>
    </row>
    <row r="25" spans="1:21" s="90" customFormat="1" ht="15.75" customHeight="1">
      <c r="A25" s="499" t="s">
        <v>385</v>
      </c>
      <c r="B25" s="491" t="s">
        <v>515</v>
      </c>
      <c r="C25" s="141" t="s">
        <v>719</v>
      </c>
      <c r="D25" s="54">
        <v>388</v>
      </c>
      <c r="E25" s="55">
        <v>388</v>
      </c>
      <c r="F25" s="55">
        <v>0</v>
      </c>
      <c r="G25" s="55">
        <v>30</v>
      </c>
      <c r="H25" s="55">
        <v>0</v>
      </c>
      <c r="I25" s="55">
        <v>21</v>
      </c>
      <c r="J25" s="55">
        <v>170</v>
      </c>
      <c r="K25" s="55">
        <v>112</v>
      </c>
      <c r="L25" s="55">
        <v>56</v>
      </c>
      <c r="M25" s="55">
        <v>23</v>
      </c>
      <c r="N25" s="55">
        <v>5</v>
      </c>
      <c r="O25" s="55">
        <v>1</v>
      </c>
      <c r="P25" s="55">
        <v>0</v>
      </c>
      <c r="Q25" s="55">
        <v>54</v>
      </c>
      <c r="R25" s="55">
        <v>330</v>
      </c>
      <c r="S25" s="55">
        <v>4</v>
      </c>
      <c r="T25" s="55">
        <v>0</v>
      </c>
      <c r="U25" s="312"/>
    </row>
    <row r="26" spans="1:21" s="90" customFormat="1" ht="15.75" customHeight="1">
      <c r="A26" s="499"/>
      <c r="B26" s="492"/>
      <c r="C26" s="143" t="s">
        <v>720</v>
      </c>
      <c r="D26" s="24">
        <v>247</v>
      </c>
      <c r="E26" s="10">
        <v>247</v>
      </c>
      <c r="F26" s="10">
        <v>0</v>
      </c>
      <c r="G26" s="10">
        <v>31</v>
      </c>
      <c r="H26" s="10">
        <v>0</v>
      </c>
      <c r="I26" s="10">
        <v>4</v>
      </c>
      <c r="J26" s="10">
        <v>100</v>
      </c>
      <c r="K26" s="10">
        <v>78</v>
      </c>
      <c r="L26" s="10">
        <v>44</v>
      </c>
      <c r="M26" s="10">
        <v>17</v>
      </c>
      <c r="N26" s="10">
        <v>4</v>
      </c>
      <c r="O26" s="10">
        <v>0</v>
      </c>
      <c r="P26" s="10">
        <v>0</v>
      </c>
      <c r="Q26" s="10">
        <v>39</v>
      </c>
      <c r="R26" s="10">
        <v>205</v>
      </c>
      <c r="S26" s="10">
        <v>3</v>
      </c>
      <c r="T26" s="10">
        <v>0</v>
      </c>
      <c r="U26" s="312"/>
    </row>
    <row r="27" spans="1:21" s="90" customFormat="1" ht="15.75" customHeight="1">
      <c r="A27" s="499"/>
      <c r="B27" s="493"/>
      <c r="C27" s="144" t="s">
        <v>721</v>
      </c>
      <c r="D27" s="24">
        <v>141</v>
      </c>
      <c r="E27" s="10">
        <v>141</v>
      </c>
      <c r="F27" s="10">
        <v>0</v>
      </c>
      <c r="G27" s="10">
        <v>29</v>
      </c>
      <c r="H27" s="10">
        <v>0</v>
      </c>
      <c r="I27" s="10">
        <v>17</v>
      </c>
      <c r="J27" s="10">
        <v>70</v>
      </c>
      <c r="K27" s="10">
        <v>34</v>
      </c>
      <c r="L27" s="10">
        <v>12</v>
      </c>
      <c r="M27" s="10">
        <v>6</v>
      </c>
      <c r="N27" s="10">
        <v>1</v>
      </c>
      <c r="O27" s="10">
        <v>1</v>
      </c>
      <c r="P27" s="10">
        <v>0</v>
      </c>
      <c r="Q27" s="10">
        <v>15</v>
      </c>
      <c r="R27" s="10">
        <v>125</v>
      </c>
      <c r="S27" s="10">
        <v>1</v>
      </c>
      <c r="T27" s="10">
        <v>0</v>
      </c>
      <c r="U27" s="312"/>
    </row>
    <row r="28" spans="1:21" s="70" customFormat="1" ht="15.75" customHeight="1">
      <c r="A28" s="499"/>
      <c r="B28" s="491" t="s">
        <v>498</v>
      </c>
      <c r="C28" s="141" t="s">
        <v>719</v>
      </c>
      <c r="D28" s="54">
        <v>690</v>
      </c>
      <c r="E28" s="55">
        <v>690</v>
      </c>
      <c r="F28" s="55">
        <v>0</v>
      </c>
      <c r="G28" s="55">
        <v>30</v>
      </c>
      <c r="H28" s="55">
        <v>0</v>
      </c>
      <c r="I28" s="55">
        <v>36</v>
      </c>
      <c r="J28" s="55">
        <v>316</v>
      </c>
      <c r="K28" s="55">
        <v>181</v>
      </c>
      <c r="L28" s="55">
        <v>102</v>
      </c>
      <c r="M28" s="55">
        <v>41</v>
      </c>
      <c r="N28" s="55">
        <v>10</v>
      </c>
      <c r="O28" s="55">
        <v>4</v>
      </c>
      <c r="P28" s="55">
        <v>0</v>
      </c>
      <c r="Q28" s="55">
        <v>46</v>
      </c>
      <c r="R28" s="55">
        <v>630</v>
      </c>
      <c r="S28" s="55">
        <v>14</v>
      </c>
      <c r="T28" s="55">
        <v>0</v>
      </c>
      <c r="U28" s="312"/>
    </row>
    <row r="29" spans="1:21" s="70" customFormat="1" ht="15.75" customHeight="1">
      <c r="A29" s="499"/>
      <c r="B29" s="492"/>
      <c r="C29" s="143" t="s">
        <v>720</v>
      </c>
      <c r="D29" s="24">
        <v>416</v>
      </c>
      <c r="E29" s="10">
        <v>416</v>
      </c>
      <c r="F29" s="10">
        <v>0</v>
      </c>
      <c r="G29" s="10">
        <v>31</v>
      </c>
      <c r="H29" s="10">
        <v>0</v>
      </c>
      <c r="I29" s="10">
        <v>8</v>
      </c>
      <c r="J29" s="10">
        <v>163</v>
      </c>
      <c r="K29" s="10">
        <v>126</v>
      </c>
      <c r="L29" s="10">
        <v>76</v>
      </c>
      <c r="M29" s="10">
        <v>32</v>
      </c>
      <c r="N29" s="10">
        <v>7</v>
      </c>
      <c r="O29" s="10">
        <v>4</v>
      </c>
      <c r="P29" s="10">
        <v>0</v>
      </c>
      <c r="Q29" s="10">
        <v>34</v>
      </c>
      <c r="R29" s="10">
        <v>376</v>
      </c>
      <c r="S29" s="10">
        <v>6</v>
      </c>
      <c r="T29" s="10">
        <v>0</v>
      </c>
      <c r="U29" s="312"/>
    </row>
    <row r="30" spans="1:21" s="70" customFormat="1" ht="15.75" customHeight="1">
      <c r="A30" s="499"/>
      <c r="B30" s="492"/>
      <c r="C30" s="144" t="s">
        <v>721</v>
      </c>
      <c r="D30" s="24">
        <v>274</v>
      </c>
      <c r="E30" s="10">
        <v>274</v>
      </c>
      <c r="F30" s="10">
        <v>0</v>
      </c>
      <c r="G30" s="10">
        <v>29</v>
      </c>
      <c r="H30" s="10">
        <v>0</v>
      </c>
      <c r="I30" s="10">
        <v>28</v>
      </c>
      <c r="J30" s="10">
        <v>153</v>
      </c>
      <c r="K30" s="10">
        <v>55</v>
      </c>
      <c r="L30" s="10">
        <v>26</v>
      </c>
      <c r="M30" s="10">
        <v>9</v>
      </c>
      <c r="N30" s="10">
        <v>3</v>
      </c>
      <c r="O30" s="10">
        <v>0</v>
      </c>
      <c r="P30" s="10">
        <v>0</v>
      </c>
      <c r="Q30" s="10">
        <v>12</v>
      </c>
      <c r="R30" s="10">
        <v>254</v>
      </c>
      <c r="S30" s="10">
        <v>8</v>
      </c>
      <c r="T30" s="10">
        <v>0</v>
      </c>
      <c r="U30" s="312"/>
    </row>
    <row r="31" spans="1:21" s="70" customFormat="1" ht="15.75" customHeight="1">
      <c r="A31" s="499"/>
      <c r="B31" s="491" t="s">
        <v>493</v>
      </c>
      <c r="C31" s="141" t="s">
        <v>719</v>
      </c>
      <c r="D31" s="54">
        <v>887</v>
      </c>
      <c r="E31" s="55">
        <v>886</v>
      </c>
      <c r="F31" s="55">
        <v>1</v>
      </c>
      <c r="G31" s="55">
        <v>30</v>
      </c>
      <c r="H31" s="55">
        <v>0</v>
      </c>
      <c r="I31" s="55">
        <v>60</v>
      </c>
      <c r="J31" s="55">
        <v>421</v>
      </c>
      <c r="K31" s="55">
        <v>244</v>
      </c>
      <c r="L31" s="55">
        <v>97</v>
      </c>
      <c r="M31" s="55">
        <v>47</v>
      </c>
      <c r="N31" s="55">
        <v>15</v>
      </c>
      <c r="O31" s="55">
        <v>2</v>
      </c>
      <c r="P31" s="55">
        <v>1</v>
      </c>
      <c r="Q31" s="55">
        <v>113</v>
      </c>
      <c r="R31" s="55">
        <v>745</v>
      </c>
      <c r="S31" s="55">
        <v>29</v>
      </c>
      <c r="T31" s="55">
        <v>0</v>
      </c>
      <c r="U31" s="312"/>
    </row>
    <row r="32" spans="1:21" s="70" customFormat="1" ht="15.75" customHeight="1">
      <c r="A32" s="499"/>
      <c r="B32" s="492"/>
      <c r="C32" s="143" t="s">
        <v>720</v>
      </c>
      <c r="D32" s="24">
        <v>445</v>
      </c>
      <c r="E32" s="10">
        <v>444</v>
      </c>
      <c r="F32" s="10">
        <v>1</v>
      </c>
      <c r="G32" s="10">
        <v>31</v>
      </c>
      <c r="H32" s="10">
        <v>0</v>
      </c>
      <c r="I32" s="10">
        <v>14</v>
      </c>
      <c r="J32" s="10">
        <v>179</v>
      </c>
      <c r="K32" s="10">
        <v>134</v>
      </c>
      <c r="L32" s="10">
        <v>68</v>
      </c>
      <c r="M32" s="10">
        <v>34</v>
      </c>
      <c r="N32" s="10">
        <v>13</v>
      </c>
      <c r="O32" s="10">
        <v>2</v>
      </c>
      <c r="P32" s="10">
        <v>1</v>
      </c>
      <c r="Q32" s="10">
        <v>76</v>
      </c>
      <c r="R32" s="10">
        <v>355</v>
      </c>
      <c r="S32" s="10">
        <v>14</v>
      </c>
      <c r="T32" s="10">
        <v>0</v>
      </c>
      <c r="U32" s="312"/>
    </row>
    <row r="33" spans="1:21" s="70" customFormat="1" ht="15.75" customHeight="1">
      <c r="A33" s="499"/>
      <c r="B33" s="492"/>
      <c r="C33" s="144" t="s">
        <v>721</v>
      </c>
      <c r="D33" s="24">
        <v>442</v>
      </c>
      <c r="E33" s="10">
        <v>442</v>
      </c>
      <c r="F33" s="10">
        <v>0</v>
      </c>
      <c r="G33" s="10">
        <v>28</v>
      </c>
      <c r="H33" s="10">
        <v>0</v>
      </c>
      <c r="I33" s="10">
        <v>46</v>
      </c>
      <c r="J33" s="10">
        <v>242</v>
      </c>
      <c r="K33" s="10">
        <v>110</v>
      </c>
      <c r="L33" s="10">
        <v>29</v>
      </c>
      <c r="M33" s="10">
        <v>13</v>
      </c>
      <c r="N33" s="10">
        <v>2</v>
      </c>
      <c r="O33" s="10">
        <v>0</v>
      </c>
      <c r="P33" s="10">
        <v>0</v>
      </c>
      <c r="Q33" s="10">
        <v>37</v>
      </c>
      <c r="R33" s="10">
        <v>390</v>
      </c>
      <c r="S33" s="10">
        <v>15</v>
      </c>
      <c r="T33" s="10">
        <v>0</v>
      </c>
      <c r="U33" s="312"/>
    </row>
    <row r="34" spans="1:21" s="70" customFormat="1" ht="15.75" customHeight="1">
      <c r="A34" s="499"/>
      <c r="B34" s="491" t="s">
        <v>503</v>
      </c>
      <c r="C34" s="141" t="s">
        <v>719</v>
      </c>
      <c r="D34" s="54">
        <v>727</v>
      </c>
      <c r="E34" s="55">
        <v>726</v>
      </c>
      <c r="F34" s="55">
        <v>1</v>
      </c>
      <c r="G34" s="55">
        <v>30</v>
      </c>
      <c r="H34" s="55">
        <v>0</v>
      </c>
      <c r="I34" s="55">
        <v>54</v>
      </c>
      <c r="J34" s="55">
        <v>354</v>
      </c>
      <c r="K34" s="55">
        <v>178</v>
      </c>
      <c r="L34" s="55">
        <v>86</v>
      </c>
      <c r="M34" s="55">
        <v>38</v>
      </c>
      <c r="N34" s="55">
        <v>11</v>
      </c>
      <c r="O34" s="55">
        <v>4</v>
      </c>
      <c r="P34" s="55">
        <v>2</v>
      </c>
      <c r="Q34" s="55">
        <v>201</v>
      </c>
      <c r="R34" s="55">
        <v>509</v>
      </c>
      <c r="S34" s="55">
        <v>16</v>
      </c>
      <c r="T34" s="55">
        <v>0</v>
      </c>
      <c r="U34" s="312"/>
    </row>
    <row r="35" spans="1:21" s="70" customFormat="1" ht="15.75" customHeight="1">
      <c r="A35" s="499"/>
      <c r="B35" s="492"/>
      <c r="C35" s="143" t="s">
        <v>720</v>
      </c>
      <c r="D35" s="24">
        <v>377</v>
      </c>
      <c r="E35" s="10">
        <v>376</v>
      </c>
      <c r="F35" s="10">
        <v>1</v>
      </c>
      <c r="G35" s="10">
        <v>31</v>
      </c>
      <c r="H35" s="10">
        <v>0</v>
      </c>
      <c r="I35" s="10">
        <v>9</v>
      </c>
      <c r="J35" s="10">
        <v>160</v>
      </c>
      <c r="K35" s="10">
        <v>105</v>
      </c>
      <c r="L35" s="10">
        <v>62</v>
      </c>
      <c r="M35" s="10">
        <v>28</v>
      </c>
      <c r="N35" s="10">
        <v>7</v>
      </c>
      <c r="O35" s="10">
        <v>4</v>
      </c>
      <c r="P35" s="10">
        <v>2</v>
      </c>
      <c r="Q35" s="10">
        <v>141</v>
      </c>
      <c r="R35" s="10">
        <v>226</v>
      </c>
      <c r="S35" s="10">
        <v>9</v>
      </c>
      <c r="T35" s="10">
        <v>0</v>
      </c>
      <c r="U35" s="312"/>
    </row>
    <row r="36" spans="1:21" s="70" customFormat="1" ht="15.75" customHeight="1">
      <c r="A36" s="499"/>
      <c r="B36" s="493"/>
      <c r="C36" s="144" t="s">
        <v>721</v>
      </c>
      <c r="D36" s="24">
        <v>350</v>
      </c>
      <c r="E36" s="10">
        <v>350</v>
      </c>
      <c r="F36" s="10">
        <v>0</v>
      </c>
      <c r="G36" s="10">
        <v>28</v>
      </c>
      <c r="H36" s="10">
        <v>0</v>
      </c>
      <c r="I36" s="10">
        <v>45</v>
      </c>
      <c r="J36" s="10">
        <v>194</v>
      </c>
      <c r="K36" s="10">
        <v>73</v>
      </c>
      <c r="L36" s="10">
        <v>24</v>
      </c>
      <c r="M36" s="10">
        <v>10</v>
      </c>
      <c r="N36" s="10">
        <v>4</v>
      </c>
      <c r="O36" s="10">
        <v>0</v>
      </c>
      <c r="P36" s="10">
        <v>0</v>
      </c>
      <c r="Q36" s="10">
        <v>60</v>
      </c>
      <c r="R36" s="10">
        <v>283</v>
      </c>
      <c r="S36" s="10">
        <v>7</v>
      </c>
      <c r="T36" s="10">
        <v>0</v>
      </c>
      <c r="U36" s="312"/>
    </row>
    <row r="37" spans="1:21" s="70" customFormat="1" ht="15.75" customHeight="1">
      <c r="A37" s="499"/>
      <c r="B37" s="494" t="s">
        <v>494</v>
      </c>
      <c r="C37" s="141" t="s">
        <v>719</v>
      </c>
      <c r="D37" s="54">
        <v>740</v>
      </c>
      <c r="E37" s="55">
        <v>740</v>
      </c>
      <c r="F37" s="55">
        <v>0</v>
      </c>
      <c r="G37" s="55">
        <v>30</v>
      </c>
      <c r="H37" s="55">
        <v>0</v>
      </c>
      <c r="I37" s="55">
        <v>45</v>
      </c>
      <c r="J37" s="55">
        <v>317</v>
      </c>
      <c r="K37" s="55">
        <v>236</v>
      </c>
      <c r="L37" s="55">
        <v>81</v>
      </c>
      <c r="M37" s="55">
        <v>40</v>
      </c>
      <c r="N37" s="55">
        <v>16</v>
      </c>
      <c r="O37" s="55">
        <v>5</v>
      </c>
      <c r="P37" s="55">
        <v>0</v>
      </c>
      <c r="Q37" s="55">
        <v>258</v>
      </c>
      <c r="R37" s="55">
        <v>469</v>
      </c>
      <c r="S37" s="55">
        <v>13</v>
      </c>
      <c r="T37" s="55">
        <v>0</v>
      </c>
      <c r="U37" s="312"/>
    </row>
    <row r="38" spans="1:21" s="70" customFormat="1" ht="15.75" customHeight="1">
      <c r="A38" s="499"/>
      <c r="B38" s="494"/>
      <c r="C38" s="143" t="s">
        <v>720</v>
      </c>
      <c r="D38" s="116">
        <v>381</v>
      </c>
      <c r="E38" s="13">
        <v>381</v>
      </c>
      <c r="F38" s="13">
        <v>0</v>
      </c>
      <c r="G38" s="13">
        <v>31</v>
      </c>
      <c r="H38" s="13">
        <v>0</v>
      </c>
      <c r="I38" s="13">
        <v>5</v>
      </c>
      <c r="J38" s="13">
        <v>139</v>
      </c>
      <c r="K38" s="13">
        <v>149</v>
      </c>
      <c r="L38" s="13">
        <v>47</v>
      </c>
      <c r="M38" s="13">
        <v>25</v>
      </c>
      <c r="N38" s="13">
        <v>12</v>
      </c>
      <c r="O38" s="13">
        <v>4</v>
      </c>
      <c r="P38" s="13">
        <v>0</v>
      </c>
      <c r="Q38" s="13">
        <v>167</v>
      </c>
      <c r="R38" s="13">
        <v>207</v>
      </c>
      <c r="S38" s="13">
        <v>7</v>
      </c>
      <c r="T38" s="13">
        <v>0</v>
      </c>
      <c r="U38" s="312"/>
    </row>
    <row r="39" spans="1:21" s="70" customFormat="1" ht="15.75" customHeight="1">
      <c r="A39" s="515"/>
      <c r="B39" s="494"/>
      <c r="C39" s="143" t="s">
        <v>721</v>
      </c>
      <c r="D39" s="136">
        <v>359</v>
      </c>
      <c r="E39" s="48">
        <v>359</v>
      </c>
      <c r="F39" s="137">
        <v>0</v>
      </c>
      <c r="G39" s="137">
        <v>29</v>
      </c>
      <c r="H39" s="28">
        <v>0</v>
      </c>
      <c r="I39" s="28">
        <v>40</v>
      </c>
      <c r="J39" s="28">
        <v>178</v>
      </c>
      <c r="K39" s="28">
        <v>87</v>
      </c>
      <c r="L39" s="28">
        <v>34</v>
      </c>
      <c r="M39" s="28">
        <v>15</v>
      </c>
      <c r="N39" s="28">
        <v>4</v>
      </c>
      <c r="O39" s="28">
        <v>1</v>
      </c>
      <c r="P39" s="28">
        <v>0</v>
      </c>
      <c r="Q39" s="28">
        <v>91</v>
      </c>
      <c r="R39" s="28">
        <v>262</v>
      </c>
      <c r="S39" s="28">
        <v>6</v>
      </c>
      <c r="T39" s="28">
        <v>0</v>
      </c>
      <c r="U39" s="312"/>
    </row>
    <row r="40" spans="1:20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21" customHeight="1">
      <c r="A44" s="6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9" spans="1:20" ht="15.75">
      <c r="A49" s="486" t="str">
        <f>"- "&amp;Sheet1!D32&amp;" -"</f>
        <v>- 190 -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 t="str">
        <f>"- "&amp;Sheet1!E32&amp;" -"</f>
        <v>- 191 -</v>
      </c>
      <c r="M49" s="486"/>
      <c r="N49" s="486"/>
      <c r="O49" s="486"/>
      <c r="P49" s="486"/>
      <c r="Q49" s="486"/>
      <c r="R49" s="486"/>
      <c r="S49" s="486"/>
      <c r="T49" s="486"/>
    </row>
  </sheetData>
  <sheetProtection/>
  <mergeCells count="26">
    <mergeCell ref="M3:S3"/>
    <mergeCell ref="B25:B27"/>
    <mergeCell ref="C3:J3"/>
    <mergeCell ref="A1:K1"/>
    <mergeCell ref="L1:T1"/>
    <mergeCell ref="H5:P5"/>
    <mergeCell ref="Q5:T5"/>
    <mergeCell ref="E5:E6"/>
    <mergeCell ref="G5:G6"/>
    <mergeCell ref="F5:F6"/>
    <mergeCell ref="D5:D6"/>
    <mergeCell ref="A5:C6"/>
    <mergeCell ref="B19:B21"/>
    <mergeCell ref="B7:B9"/>
    <mergeCell ref="B16:B18"/>
    <mergeCell ref="B10:B12"/>
    <mergeCell ref="A49:K49"/>
    <mergeCell ref="L49:T49"/>
    <mergeCell ref="A7:A24"/>
    <mergeCell ref="B22:B24"/>
    <mergeCell ref="B13:B15"/>
    <mergeCell ref="A25:A39"/>
    <mergeCell ref="B37:B39"/>
    <mergeCell ref="B31:B33"/>
    <mergeCell ref="B34:B36"/>
    <mergeCell ref="B28:B30"/>
  </mergeCells>
  <printOptions/>
  <pageMargins left="0.6299212598425197" right="0.3937007874015748" top="0.5511811023622047" bottom="0.01488095238095238" header="0.5118110236220472" footer="0.7086614173228347"/>
  <pageSetup horizontalDpi="600" verticalDpi="600" orientation="portrait" paperSize="9" r:id="rId1"/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U53"/>
  <sheetViews>
    <sheetView view="pageLayout" zoomScaleNormal="75" zoomScaleSheetLayoutView="85" workbookViewId="0" topLeftCell="H1">
      <selection activeCell="O6" sqref="O6"/>
    </sheetView>
  </sheetViews>
  <sheetFormatPr defaultColWidth="9.00390625" defaultRowHeight="16.5"/>
  <cols>
    <col min="1" max="1" width="2.50390625" style="26" customWidth="1"/>
    <col min="2" max="2" width="9.75390625" style="26" customWidth="1"/>
    <col min="3" max="3" width="8.125" style="26" customWidth="1"/>
    <col min="4" max="4" width="10.625" style="26" customWidth="1"/>
    <col min="5" max="5" width="9.625" style="26" customWidth="1"/>
    <col min="6" max="6" width="11.375" style="26" customWidth="1"/>
    <col min="7" max="7" width="7.75390625" style="26" customWidth="1"/>
    <col min="8" max="8" width="8.125" style="26" customWidth="1"/>
    <col min="9" max="9" width="7.75390625" style="26" customWidth="1"/>
    <col min="10" max="10" width="8.00390625" style="26" customWidth="1"/>
    <col min="11" max="11" width="8.375" style="26" customWidth="1"/>
    <col min="12" max="16" width="8.625" style="26" customWidth="1"/>
    <col min="17" max="17" width="9.375" style="26" customWidth="1"/>
    <col min="18" max="18" width="10.25390625" style="26" customWidth="1"/>
    <col min="19" max="19" width="11.25390625" style="26" customWidth="1"/>
    <col min="20" max="20" width="11.125" style="26" customWidth="1"/>
    <col min="21" max="16384" width="9.00390625" style="26" customWidth="1"/>
  </cols>
  <sheetData>
    <row r="1" spans="1:20" s="35" customFormat="1" ht="19.5">
      <c r="A1" s="505" t="s">
        <v>235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20" t="s">
        <v>49</v>
      </c>
      <c r="M1" s="520"/>
      <c r="N1" s="520"/>
      <c r="O1" s="520"/>
      <c r="P1" s="520"/>
      <c r="Q1" s="520"/>
      <c r="R1" s="520"/>
      <c r="S1" s="520"/>
      <c r="T1" s="520"/>
    </row>
    <row r="2" spans="1:20" ht="15.75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19"/>
      <c r="N2" s="6"/>
      <c r="O2" s="2"/>
      <c r="P2" s="2"/>
      <c r="Q2" s="2"/>
      <c r="R2" s="2"/>
      <c r="S2" s="2"/>
      <c r="T2" s="2"/>
    </row>
    <row r="3" spans="1:20" s="91" customFormat="1" ht="16.5" customHeight="1">
      <c r="A3" s="3"/>
      <c r="B3" s="16"/>
      <c r="C3" s="460" t="s">
        <v>831</v>
      </c>
      <c r="D3" s="461"/>
      <c r="E3" s="461"/>
      <c r="F3" s="461"/>
      <c r="G3" s="461"/>
      <c r="H3" s="461"/>
      <c r="I3" s="461"/>
      <c r="J3" s="461"/>
      <c r="K3" s="4" t="s">
        <v>712</v>
      </c>
      <c r="L3" s="3"/>
      <c r="M3" s="461" t="s">
        <v>832</v>
      </c>
      <c r="N3" s="461"/>
      <c r="O3" s="461"/>
      <c r="P3" s="461"/>
      <c r="Q3" s="461"/>
      <c r="R3" s="461"/>
      <c r="S3" s="461"/>
      <c r="T3" s="69" t="s">
        <v>694</v>
      </c>
    </row>
    <row r="4" spans="1:20" s="6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90" customFormat="1" ht="14.25" customHeight="1">
      <c r="A5" s="509"/>
      <c r="B5" s="509"/>
      <c r="C5" s="488"/>
      <c r="D5" s="507" t="s">
        <v>908</v>
      </c>
      <c r="E5" s="507" t="s">
        <v>909</v>
      </c>
      <c r="F5" s="507" t="s">
        <v>910</v>
      </c>
      <c r="G5" s="507" t="s">
        <v>911</v>
      </c>
      <c r="H5" s="495" t="s">
        <v>912</v>
      </c>
      <c r="I5" s="496"/>
      <c r="J5" s="496"/>
      <c r="K5" s="496"/>
      <c r="L5" s="496"/>
      <c r="M5" s="496"/>
      <c r="N5" s="496"/>
      <c r="O5" s="496"/>
      <c r="P5" s="514"/>
      <c r="Q5" s="495" t="s">
        <v>314</v>
      </c>
      <c r="R5" s="496"/>
      <c r="S5" s="496"/>
      <c r="T5" s="496"/>
    </row>
    <row r="6" spans="1:20" s="90" customFormat="1" ht="65.25">
      <c r="A6" s="510"/>
      <c r="B6" s="510"/>
      <c r="C6" s="511"/>
      <c r="D6" s="517"/>
      <c r="E6" s="517"/>
      <c r="F6" s="517"/>
      <c r="G6" s="517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913</v>
      </c>
      <c r="R6" s="117" t="s">
        <v>914</v>
      </c>
      <c r="S6" s="117" t="s">
        <v>915</v>
      </c>
      <c r="T6" s="120" t="s">
        <v>916</v>
      </c>
    </row>
    <row r="7" spans="1:20" s="70" customFormat="1" ht="14.25">
      <c r="A7" s="491" t="s">
        <v>922</v>
      </c>
      <c r="B7" s="507" t="s">
        <v>724</v>
      </c>
      <c r="C7" s="141" t="s">
        <v>719</v>
      </c>
      <c r="D7" s="56">
        <f>SUM(D10,D13,D16,D19,D22,D25,D28,D31,D34,D37)</f>
        <v>4184</v>
      </c>
      <c r="E7" s="56">
        <f aca="true" t="shared" si="0" ref="E7:T7">SUM(E10,E13,E16,E19,E22,E25,E28,E31,E34,E37)</f>
        <v>4183</v>
      </c>
      <c r="F7" s="56">
        <f t="shared" si="0"/>
        <v>1</v>
      </c>
      <c r="G7" s="56">
        <v>30</v>
      </c>
      <c r="H7" s="56">
        <f t="shared" si="0"/>
        <v>1</v>
      </c>
      <c r="I7" s="56">
        <f t="shared" si="0"/>
        <v>526</v>
      </c>
      <c r="J7" s="56">
        <f t="shared" si="0"/>
        <v>1721</v>
      </c>
      <c r="K7" s="56">
        <f t="shared" si="0"/>
        <v>1056</v>
      </c>
      <c r="L7" s="56">
        <f t="shared" si="0"/>
        <v>537</v>
      </c>
      <c r="M7" s="56">
        <f t="shared" si="0"/>
        <v>246</v>
      </c>
      <c r="N7" s="56">
        <f t="shared" si="0"/>
        <v>71</v>
      </c>
      <c r="O7" s="56">
        <f t="shared" si="0"/>
        <v>23</v>
      </c>
      <c r="P7" s="56">
        <f t="shared" si="0"/>
        <v>3</v>
      </c>
      <c r="Q7" s="56">
        <f t="shared" si="0"/>
        <v>169</v>
      </c>
      <c r="R7" s="56">
        <f t="shared" si="0"/>
        <v>2970</v>
      </c>
      <c r="S7" s="56">
        <f t="shared" si="0"/>
        <v>143</v>
      </c>
      <c r="T7" s="56">
        <f t="shared" si="0"/>
        <v>0</v>
      </c>
    </row>
    <row r="8" spans="1:20" s="70" customFormat="1" ht="14.25">
      <c r="A8" s="521"/>
      <c r="B8" s="516"/>
      <c r="C8" s="143" t="s">
        <v>720</v>
      </c>
      <c r="D8" s="10">
        <f>SUM(D11,D14,D17,D20,D23,D26,D29,D32,D35,D38)</f>
        <v>1372</v>
      </c>
      <c r="E8" s="10">
        <f aca="true" t="shared" si="1" ref="E8:T8">SUM(E11,E14,E17,E20,E23,E26,E29,E32,E35,E38)</f>
        <v>1371</v>
      </c>
      <c r="F8" s="10">
        <f t="shared" si="1"/>
        <v>1</v>
      </c>
      <c r="G8" s="10">
        <v>31</v>
      </c>
      <c r="H8" s="10">
        <f t="shared" si="1"/>
        <v>0</v>
      </c>
      <c r="I8" s="10">
        <f t="shared" si="1"/>
        <v>56</v>
      </c>
      <c r="J8" s="10">
        <f t="shared" si="1"/>
        <v>521</v>
      </c>
      <c r="K8" s="10">
        <f t="shared" si="1"/>
        <v>410</v>
      </c>
      <c r="L8" s="10">
        <f t="shared" si="1"/>
        <v>221</v>
      </c>
      <c r="M8" s="10">
        <f t="shared" si="1"/>
        <v>111</v>
      </c>
      <c r="N8" s="10">
        <f t="shared" si="1"/>
        <v>37</v>
      </c>
      <c r="O8" s="10">
        <f t="shared" si="1"/>
        <v>15</v>
      </c>
      <c r="P8" s="10">
        <f t="shared" si="1"/>
        <v>1</v>
      </c>
      <c r="Q8" s="10">
        <f t="shared" si="1"/>
        <v>94</v>
      </c>
      <c r="R8" s="10">
        <f t="shared" si="1"/>
        <v>896</v>
      </c>
      <c r="S8" s="10">
        <f t="shared" si="1"/>
        <v>65</v>
      </c>
      <c r="T8" s="10">
        <f t="shared" si="1"/>
        <v>0</v>
      </c>
    </row>
    <row r="9" spans="1:20" s="70" customFormat="1" ht="14.25">
      <c r="A9" s="521"/>
      <c r="B9" s="517"/>
      <c r="C9" s="144" t="s">
        <v>721</v>
      </c>
      <c r="D9" s="10">
        <f>SUM(D12,D15,D18,D21,D24,D27,D30,D33,D36,D39)</f>
        <v>2812</v>
      </c>
      <c r="E9" s="10">
        <f aca="true" t="shared" si="2" ref="E9:T9">SUM(E12,E15,E18,E21,E24,E27,E30,E33,E36,E39)</f>
        <v>2812</v>
      </c>
      <c r="F9" s="10">
        <f t="shared" si="2"/>
        <v>0</v>
      </c>
      <c r="G9" s="10">
        <v>29</v>
      </c>
      <c r="H9" s="10">
        <f t="shared" si="2"/>
        <v>1</v>
      </c>
      <c r="I9" s="10">
        <f t="shared" si="2"/>
        <v>470</v>
      </c>
      <c r="J9" s="10">
        <f t="shared" si="2"/>
        <v>1200</v>
      </c>
      <c r="K9" s="10">
        <f t="shared" si="2"/>
        <v>646</v>
      </c>
      <c r="L9" s="10">
        <f t="shared" si="2"/>
        <v>316</v>
      </c>
      <c r="M9" s="10">
        <f t="shared" si="2"/>
        <v>135</v>
      </c>
      <c r="N9" s="10">
        <f t="shared" si="2"/>
        <v>34</v>
      </c>
      <c r="O9" s="10">
        <f t="shared" si="2"/>
        <v>8</v>
      </c>
      <c r="P9" s="10">
        <f t="shared" si="2"/>
        <v>2</v>
      </c>
      <c r="Q9" s="10">
        <f t="shared" si="2"/>
        <v>75</v>
      </c>
      <c r="R9" s="10">
        <f t="shared" si="2"/>
        <v>2074</v>
      </c>
      <c r="S9" s="10">
        <f t="shared" si="2"/>
        <v>78</v>
      </c>
      <c r="T9" s="10">
        <f t="shared" si="2"/>
        <v>0</v>
      </c>
    </row>
    <row r="10" spans="1:20" s="70" customFormat="1" ht="14.25">
      <c r="A10" s="521"/>
      <c r="B10" s="491" t="s">
        <v>495</v>
      </c>
      <c r="C10" s="141" t="s">
        <v>719</v>
      </c>
      <c r="D10" s="54">
        <v>619</v>
      </c>
      <c r="E10" s="55">
        <v>619</v>
      </c>
      <c r="F10" s="55">
        <v>0</v>
      </c>
      <c r="G10" s="55">
        <v>29</v>
      </c>
      <c r="H10" s="55">
        <v>0</v>
      </c>
      <c r="I10" s="55">
        <v>75</v>
      </c>
      <c r="J10" s="55">
        <v>249</v>
      </c>
      <c r="K10" s="55">
        <v>185</v>
      </c>
      <c r="L10" s="55">
        <v>85</v>
      </c>
      <c r="M10" s="55">
        <v>18</v>
      </c>
      <c r="N10" s="55">
        <v>5</v>
      </c>
      <c r="O10" s="55">
        <v>2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</row>
    <row r="11" spans="1:20" s="70" customFormat="1" ht="14.25">
      <c r="A11" s="521"/>
      <c r="B11" s="492"/>
      <c r="C11" s="143" t="s">
        <v>720</v>
      </c>
      <c r="D11" s="24">
        <v>207</v>
      </c>
      <c r="E11" s="10">
        <v>207</v>
      </c>
      <c r="F11" s="10">
        <v>0</v>
      </c>
      <c r="G11" s="10">
        <v>30</v>
      </c>
      <c r="H11" s="10">
        <v>0</v>
      </c>
      <c r="I11" s="10">
        <v>10</v>
      </c>
      <c r="J11" s="10">
        <v>81</v>
      </c>
      <c r="K11" s="10">
        <v>69</v>
      </c>
      <c r="L11" s="10">
        <v>38</v>
      </c>
      <c r="M11" s="10">
        <v>8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s="70" customFormat="1" ht="14.25">
      <c r="A12" s="521"/>
      <c r="B12" s="493"/>
      <c r="C12" s="144" t="s">
        <v>721</v>
      </c>
      <c r="D12" s="24">
        <v>412</v>
      </c>
      <c r="E12" s="10">
        <v>412</v>
      </c>
      <c r="F12" s="10">
        <v>0</v>
      </c>
      <c r="G12" s="10">
        <v>29</v>
      </c>
      <c r="H12" s="10">
        <v>0</v>
      </c>
      <c r="I12" s="10">
        <v>65</v>
      </c>
      <c r="J12" s="10">
        <v>168</v>
      </c>
      <c r="K12" s="10">
        <v>116</v>
      </c>
      <c r="L12" s="10">
        <v>47</v>
      </c>
      <c r="M12" s="10">
        <v>10</v>
      </c>
      <c r="N12" s="10">
        <v>4</v>
      </c>
      <c r="O12" s="10">
        <v>2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s="70" customFormat="1" ht="14.25">
      <c r="A13" s="521"/>
      <c r="B13" s="492" t="s">
        <v>496</v>
      </c>
      <c r="C13" s="141" t="s">
        <v>719</v>
      </c>
      <c r="D13" s="54">
        <v>283</v>
      </c>
      <c r="E13" s="55">
        <v>283</v>
      </c>
      <c r="F13" s="55">
        <v>0</v>
      </c>
      <c r="G13" s="55">
        <v>30</v>
      </c>
      <c r="H13" s="55">
        <v>0</v>
      </c>
      <c r="I13" s="55">
        <v>31</v>
      </c>
      <c r="J13" s="55">
        <v>110</v>
      </c>
      <c r="K13" s="55">
        <v>88</v>
      </c>
      <c r="L13" s="55">
        <v>38</v>
      </c>
      <c r="M13" s="55">
        <v>12</v>
      </c>
      <c r="N13" s="55">
        <v>3</v>
      </c>
      <c r="O13" s="55">
        <v>1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</row>
    <row r="14" spans="1:20" s="70" customFormat="1" ht="14.25">
      <c r="A14" s="521"/>
      <c r="B14" s="492"/>
      <c r="C14" s="143" t="s">
        <v>720</v>
      </c>
      <c r="D14" s="24">
        <v>110</v>
      </c>
      <c r="E14" s="10">
        <v>110</v>
      </c>
      <c r="F14" s="10">
        <v>0</v>
      </c>
      <c r="G14" s="10">
        <v>31</v>
      </c>
      <c r="H14" s="10">
        <v>0</v>
      </c>
      <c r="I14" s="10">
        <v>5</v>
      </c>
      <c r="J14" s="10">
        <v>40</v>
      </c>
      <c r="K14" s="10">
        <v>36</v>
      </c>
      <c r="L14" s="10">
        <v>21</v>
      </c>
      <c r="M14" s="10">
        <v>6</v>
      </c>
      <c r="N14" s="10">
        <v>1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70" customFormat="1" ht="14.25">
      <c r="A15" s="521"/>
      <c r="B15" s="492"/>
      <c r="C15" s="144" t="s">
        <v>721</v>
      </c>
      <c r="D15" s="24">
        <v>173</v>
      </c>
      <c r="E15" s="10">
        <v>173</v>
      </c>
      <c r="F15" s="10">
        <v>0</v>
      </c>
      <c r="G15" s="10">
        <v>29</v>
      </c>
      <c r="H15" s="10">
        <v>0</v>
      </c>
      <c r="I15" s="10">
        <v>26</v>
      </c>
      <c r="J15" s="10">
        <v>70</v>
      </c>
      <c r="K15" s="10">
        <v>52</v>
      </c>
      <c r="L15" s="10">
        <v>17</v>
      </c>
      <c r="M15" s="10">
        <v>6</v>
      </c>
      <c r="N15" s="10">
        <v>2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70" customFormat="1" ht="14.25">
      <c r="A16" s="521"/>
      <c r="B16" s="491" t="s">
        <v>502</v>
      </c>
      <c r="C16" s="141" t="s">
        <v>719</v>
      </c>
      <c r="D16" s="54">
        <v>327</v>
      </c>
      <c r="E16" s="55">
        <v>327</v>
      </c>
      <c r="F16" s="55">
        <v>0</v>
      </c>
      <c r="G16" s="55">
        <v>30</v>
      </c>
      <c r="H16" s="55">
        <v>0</v>
      </c>
      <c r="I16" s="55">
        <v>36</v>
      </c>
      <c r="J16" s="55">
        <v>131</v>
      </c>
      <c r="K16" s="55">
        <v>85</v>
      </c>
      <c r="L16" s="55">
        <v>53</v>
      </c>
      <c r="M16" s="55">
        <v>17</v>
      </c>
      <c r="N16" s="55">
        <v>5</v>
      </c>
      <c r="O16" s="55">
        <v>0</v>
      </c>
      <c r="P16" s="55">
        <v>0</v>
      </c>
      <c r="Q16" s="55">
        <v>5</v>
      </c>
      <c r="R16" s="55">
        <v>302</v>
      </c>
      <c r="S16" s="55">
        <v>20</v>
      </c>
      <c r="T16" s="55">
        <v>0</v>
      </c>
    </row>
    <row r="17" spans="1:20" s="70" customFormat="1" ht="14.25">
      <c r="A17" s="521"/>
      <c r="B17" s="492"/>
      <c r="C17" s="143" t="s">
        <v>720</v>
      </c>
      <c r="D17" s="24">
        <v>130</v>
      </c>
      <c r="E17" s="10">
        <v>130</v>
      </c>
      <c r="F17" s="10">
        <v>0</v>
      </c>
      <c r="G17" s="10">
        <v>31</v>
      </c>
      <c r="H17" s="10">
        <v>0</v>
      </c>
      <c r="I17" s="10">
        <v>5</v>
      </c>
      <c r="J17" s="10">
        <v>51</v>
      </c>
      <c r="K17" s="10">
        <v>44</v>
      </c>
      <c r="L17" s="10">
        <v>22</v>
      </c>
      <c r="M17" s="10">
        <v>5</v>
      </c>
      <c r="N17" s="10">
        <v>3</v>
      </c>
      <c r="O17" s="10">
        <v>0</v>
      </c>
      <c r="P17" s="10">
        <v>0</v>
      </c>
      <c r="Q17" s="10">
        <v>3</v>
      </c>
      <c r="R17" s="10">
        <v>118</v>
      </c>
      <c r="S17" s="10">
        <v>9</v>
      </c>
      <c r="T17" s="10">
        <v>0</v>
      </c>
    </row>
    <row r="18" spans="1:20" s="70" customFormat="1" ht="14.25">
      <c r="A18" s="521"/>
      <c r="B18" s="493"/>
      <c r="C18" s="144" t="s">
        <v>721</v>
      </c>
      <c r="D18" s="24">
        <v>197</v>
      </c>
      <c r="E18" s="10">
        <v>197</v>
      </c>
      <c r="F18" s="10">
        <v>0</v>
      </c>
      <c r="G18" s="10">
        <v>29</v>
      </c>
      <c r="H18" s="10">
        <v>0</v>
      </c>
      <c r="I18" s="10">
        <v>31</v>
      </c>
      <c r="J18" s="10">
        <v>80</v>
      </c>
      <c r="K18" s="10">
        <v>41</v>
      </c>
      <c r="L18" s="10">
        <v>31</v>
      </c>
      <c r="M18" s="10">
        <v>12</v>
      </c>
      <c r="N18" s="10">
        <v>2</v>
      </c>
      <c r="O18" s="10">
        <v>0</v>
      </c>
      <c r="P18" s="10">
        <v>0</v>
      </c>
      <c r="Q18" s="10">
        <v>2</v>
      </c>
      <c r="R18" s="10">
        <v>184</v>
      </c>
      <c r="S18" s="10">
        <v>11</v>
      </c>
      <c r="T18" s="10">
        <v>0</v>
      </c>
    </row>
    <row r="19" spans="1:20" s="70" customFormat="1" ht="14.25">
      <c r="A19" s="521"/>
      <c r="B19" s="492" t="s">
        <v>499</v>
      </c>
      <c r="C19" s="141" t="s">
        <v>719</v>
      </c>
      <c r="D19" s="54">
        <v>276</v>
      </c>
      <c r="E19" s="55">
        <v>276</v>
      </c>
      <c r="F19" s="55">
        <v>0</v>
      </c>
      <c r="G19" s="55">
        <v>31</v>
      </c>
      <c r="H19" s="55">
        <v>0</v>
      </c>
      <c r="I19" s="55">
        <v>17</v>
      </c>
      <c r="J19" s="55">
        <v>105</v>
      </c>
      <c r="K19" s="55">
        <v>73</v>
      </c>
      <c r="L19" s="55">
        <v>52</v>
      </c>
      <c r="M19" s="55">
        <v>21</v>
      </c>
      <c r="N19" s="55">
        <v>7</v>
      </c>
      <c r="O19" s="55">
        <v>1</v>
      </c>
      <c r="P19" s="55">
        <v>0</v>
      </c>
      <c r="Q19" s="55">
        <v>1</v>
      </c>
      <c r="R19" s="55">
        <v>248</v>
      </c>
      <c r="S19" s="55">
        <v>27</v>
      </c>
      <c r="T19" s="55">
        <v>0</v>
      </c>
    </row>
    <row r="20" spans="1:20" s="70" customFormat="1" ht="14.25">
      <c r="A20" s="521"/>
      <c r="B20" s="492"/>
      <c r="C20" s="143" t="s">
        <v>720</v>
      </c>
      <c r="D20" s="24">
        <v>93</v>
      </c>
      <c r="E20" s="10">
        <v>93</v>
      </c>
      <c r="F20" s="10">
        <v>0</v>
      </c>
      <c r="G20" s="10">
        <v>32</v>
      </c>
      <c r="H20" s="10">
        <v>0</v>
      </c>
      <c r="I20" s="10">
        <v>0</v>
      </c>
      <c r="J20" s="10">
        <v>36</v>
      </c>
      <c r="K20" s="10">
        <v>22</v>
      </c>
      <c r="L20" s="10">
        <v>20</v>
      </c>
      <c r="M20" s="10">
        <v>11</v>
      </c>
      <c r="N20" s="10">
        <v>4</v>
      </c>
      <c r="O20" s="10">
        <v>0</v>
      </c>
      <c r="P20" s="10">
        <v>0</v>
      </c>
      <c r="Q20" s="10">
        <v>0</v>
      </c>
      <c r="R20" s="10">
        <v>84</v>
      </c>
      <c r="S20" s="10">
        <v>9</v>
      </c>
      <c r="T20" s="10">
        <v>0</v>
      </c>
    </row>
    <row r="21" spans="1:20" s="70" customFormat="1" ht="14.25">
      <c r="A21" s="521"/>
      <c r="B21" s="492"/>
      <c r="C21" s="144" t="s">
        <v>721</v>
      </c>
      <c r="D21" s="24">
        <v>183</v>
      </c>
      <c r="E21" s="10">
        <v>183</v>
      </c>
      <c r="F21" s="10">
        <v>0</v>
      </c>
      <c r="G21" s="10">
        <v>30</v>
      </c>
      <c r="H21" s="10">
        <v>0</v>
      </c>
      <c r="I21" s="10">
        <v>17</v>
      </c>
      <c r="J21" s="10">
        <v>69</v>
      </c>
      <c r="K21" s="10">
        <v>51</v>
      </c>
      <c r="L21" s="10">
        <v>32</v>
      </c>
      <c r="M21" s="10">
        <v>10</v>
      </c>
      <c r="N21" s="10">
        <v>3</v>
      </c>
      <c r="O21" s="10">
        <v>1</v>
      </c>
      <c r="P21" s="10">
        <v>0</v>
      </c>
      <c r="Q21" s="10">
        <v>1</v>
      </c>
      <c r="R21" s="10">
        <v>164</v>
      </c>
      <c r="S21" s="10">
        <v>18</v>
      </c>
      <c r="T21" s="10">
        <v>0</v>
      </c>
    </row>
    <row r="22" spans="1:20" s="70" customFormat="1" ht="14.25">
      <c r="A22" s="499" t="s">
        <v>386</v>
      </c>
      <c r="B22" s="491" t="s">
        <v>514</v>
      </c>
      <c r="C22" s="141" t="s">
        <v>719</v>
      </c>
      <c r="D22" s="54">
        <v>481</v>
      </c>
      <c r="E22" s="55">
        <v>481</v>
      </c>
      <c r="F22" s="55">
        <v>0</v>
      </c>
      <c r="G22" s="55">
        <v>30</v>
      </c>
      <c r="H22" s="55">
        <v>0</v>
      </c>
      <c r="I22" s="55">
        <v>68</v>
      </c>
      <c r="J22" s="55">
        <v>184</v>
      </c>
      <c r="K22" s="55">
        <v>121</v>
      </c>
      <c r="L22" s="55">
        <v>64</v>
      </c>
      <c r="M22" s="55">
        <v>31</v>
      </c>
      <c r="N22" s="55">
        <v>10</v>
      </c>
      <c r="O22" s="55">
        <v>2</v>
      </c>
      <c r="P22" s="55">
        <v>1</v>
      </c>
      <c r="Q22" s="55">
        <v>6</v>
      </c>
      <c r="R22" s="55">
        <v>460</v>
      </c>
      <c r="S22" s="55">
        <v>15</v>
      </c>
      <c r="T22" s="55">
        <v>0</v>
      </c>
    </row>
    <row r="23" spans="1:20" s="70" customFormat="1" ht="14.25">
      <c r="A23" s="518"/>
      <c r="B23" s="492"/>
      <c r="C23" s="143" t="s">
        <v>720</v>
      </c>
      <c r="D23" s="10">
        <v>157</v>
      </c>
      <c r="E23" s="10">
        <v>157</v>
      </c>
      <c r="F23" s="10">
        <v>0</v>
      </c>
      <c r="G23" s="10">
        <v>32</v>
      </c>
      <c r="H23" s="10">
        <v>0</v>
      </c>
      <c r="I23" s="10">
        <v>3</v>
      </c>
      <c r="J23" s="10">
        <v>55</v>
      </c>
      <c r="K23" s="10">
        <v>49</v>
      </c>
      <c r="L23" s="10">
        <v>28</v>
      </c>
      <c r="M23" s="10">
        <v>14</v>
      </c>
      <c r="N23" s="10">
        <v>6</v>
      </c>
      <c r="O23" s="10">
        <v>2</v>
      </c>
      <c r="P23" s="10">
        <v>0</v>
      </c>
      <c r="Q23" s="10">
        <v>4</v>
      </c>
      <c r="R23" s="10">
        <v>146</v>
      </c>
      <c r="S23" s="10">
        <v>7</v>
      </c>
      <c r="T23" s="10">
        <v>0</v>
      </c>
    </row>
    <row r="24" spans="1:20" s="70" customFormat="1" ht="14.25">
      <c r="A24" s="518"/>
      <c r="B24" s="493"/>
      <c r="C24" s="144" t="s">
        <v>721</v>
      </c>
      <c r="D24" s="24">
        <v>324</v>
      </c>
      <c r="E24" s="10">
        <v>324</v>
      </c>
      <c r="F24" s="10">
        <v>0</v>
      </c>
      <c r="G24" s="10">
        <v>29</v>
      </c>
      <c r="H24" s="10">
        <v>0</v>
      </c>
      <c r="I24" s="10">
        <v>65</v>
      </c>
      <c r="J24" s="10">
        <v>129</v>
      </c>
      <c r="K24" s="10">
        <v>72</v>
      </c>
      <c r="L24" s="10">
        <v>36</v>
      </c>
      <c r="M24" s="10">
        <v>17</v>
      </c>
      <c r="N24" s="10">
        <v>4</v>
      </c>
      <c r="O24" s="10">
        <v>0</v>
      </c>
      <c r="P24" s="10">
        <v>1</v>
      </c>
      <c r="Q24" s="10">
        <v>2</v>
      </c>
      <c r="R24" s="10">
        <v>314</v>
      </c>
      <c r="S24" s="10">
        <v>8</v>
      </c>
      <c r="T24" s="10">
        <v>0</v>
      </c>
    </row>
    <row r="25" spans="1:20" s="70" customFormat="1" ht="14.25">
      <c r="A25" s="518"/>
      <c r="B25" s="491" t="s">
        <v>492</v>
      </c>
      <c r="C25" s="141" t="s">
        <v>719</v>
      </c>
      <c r="D25" s="54">
        <v>383</v>
      </c>
      <c r="E25" s="55">
        <v>383</v>
      </c>
      <c r="F25" s="55">
        <v>0</v>
      </c>
      <c r="G25" s="55">
        <v>29</v>
      </c>
      <c r="H25" s="55">
        <v>0</v>
      </c>
      <c r="I25" s="55">
        <v>68</v>
      </c>
      <c r="J25" s="55">
        <v>153</v>
      </c>
      <c r="K25" s="55">
        <v>84</v>
      </c>
      <c r="L25" s="55">
        <v>42</v>
      </c>
      <c r="M25" s="55">
        <v>25</v>
      </c>
      <c r="N25" s="55">
        <v>6</v>
      </c>
      <c r="O25" s="55">
        <v>4</v>
      </c>
      <c r="P25" s="55">
        <v>1</v>
      </c>
      <c r="Q25" s="55">
        <v>8</v>
      </c>
      <c r="R25" s="55">
        <v>368</v>
      </c>
      <c r="S25" s="55">
        <v>7</v>
      </c>
      <c r="T25" s="55">
        <v>0</v>
      </c>
    </row>
    <row r="26" spans="1:20" s="70" customFormat="1" ht="14.25">
      <c r="A26" s="518"/>
      <c r="B26" s="492"/>
      <c r="C26" s="143" t="s">
        <v>720</v>
      </c>
      <c r="D26" s="10">
        <v>125</v>
      </c>
      <c r="E26" s="10">
        <v>125</v>
      </c>
      <c r="F26" s="10">
        <v>0</v>
      </c>
      <c r="G26" s="10">
        <v>31</v>
      </c>
      <c r="H26" s="10">
        <v>0</v>
      </c>
      <c r="I26" s="10">
        <v>11</v>
      </c>
      <c r="J26" s="10">
        <v>34</v>
      </c>
      <c r="K26" s="10">
        <v>37</v>
      </c>
      <c r="L26" s="10">
        <v>18</v>
      </c>
      <c r="M26" s="10">
        <v>16</v>
      </c>
      <c r="N26" s="10">
        <v>5</v>
      </c>
      <c r="O26" s="10">
        <v>3</v>
      </c>
      <c r="P26" s="10">
        <v>1</v>
      </c>
      <c r="Q26" s="10">
        <v>5</v>
      </c>
      <c r="R26" s="10">
        <v>114</v>
      </c>
      <c r="S26" s="10">
        <v>6</v>
      </c>
      <c r="T26" s="10">
        <v>0</v>
      </c>
    </row>
    <row r="27" spans="1:20" s="70" customFormat="1" ht="14.25">
      <c r="A27" s="518"/>
      <c r="B27" s="493"/>
      <c r="C27" s="144" t="s">
        <v>721</v>
      </c>
      <c r="D27" s="10">
        <v>258</v>
      </c>
      <c r="E27" s="10">
        <v>258</v>
      </c>
      <c r="F27" s="10">
        <v>0</v>
      </c>
      <c r="G27" s="10">
        <v>28</v>
      </c>
      <c r="H27" s="10">
        <v>0</v>
      </c>
      <c r="I27" s="10">
        <v>57</v>
      </c>
      <c r="J27" s="10">
        <v>119</v>
      </c>
      <c r="K27" s="10">
        <v>47</v>
      </c>
      <c r="L27" s="10">
        <v>24</v>
      </c>
      <c r="M27" s="10">
        <v>9</v>
      </c>
      <c r="N27" s="10">
        <v>1</v>
      </c>
      <c r="O27" s="10">
        <v>1</v>
      </c>
      <c r="P27" s="10">
        <v>0</v>
      </c>
      <c r="Q27" s="10">
        <v>3</v>
      </c>
      <c r="R27" s="10">
        <v>254</v>
      </c>
      <c r="S27" s="10">
        <v>1</v>
      </c>
      <c r="T27" s="10">
        <v>0</v>
      </c>
    </row>
    <row r="28" spans="1:20" s="70" customFormat="1" ht="14.25">
      <c r="A28" s="518"/>
      <c r="B28" s="491" t="s">
        <v>516</v>
      </c>
      <c r="C28" s="141" t="s">
        <v>719</v>
      </c>
      <c r="D28" s="54">
        <v>411</v>
      </c>
      <c r="E28" s="55">
        <v>411</v>
      </c>
      <c r="F28" s="55">
        <v>0</v>
      </c>
      <c r="G28" s="55">
        <v>29</v>
      </c>
      <c r="H28" s="55">
        <v>0</v>
      </c>
      <c r="I28" s="55">
        <v>64</v>
      </c>
      <c r="J28" s="55">
        <v>189</v>
      </c>
      <c r="K28" s="55">
        <v>87</v>
      </c>
      <c r="L28" s="55">
        <v>44</v>
      </c>
      <c r="M28" s="55">
        <v>21</v>
      </c>
      <c r="N28" s="55">
        <v>5</v>
      </c>
      <c r="O28" s="55">
        <v>1</v>
      </c>
      <c r="P28" s="55">
        <v>0</v>
      </c>
      <c r="Q28" s="55">
        <v>6</v>
      </c>
      <c r="R28" s="55">
        <v>391</v>
      </c>
      <c r="S28" s="55">
        <v>14</v>
      </c>
      <c r="T28" s="55">
        <v>0</v>
      </c>
    </row>
    <row r="29" spans="1:20" s="70" customFormat="1" ht="14.25">
      <c r="A29" s="518"/>
      <c r="B29" s="492"/>
      <c r="C29" s="143" t="s">
        <v>720</v>
      </c>
      <c r="D29" s="10">
        <v>109</v>
      </c>
      <c r="E29" s="10">
        <v>109</v>
      </c>
      <c r="F29" s="10">
        <v>0</v>
      </c>
      <c r="G29" s="10">
        <v>31</v>
      </c>
      <c r="H29" s="10">
        <v>0</v>
      </c>
      <c r="I29" s="10">
        <v>7</v>
      </c>
      <c r="J29" s="10">
        <v>47</v>
      </c>
      <c r="K29" s="10">
        <v>30</v>
      </c>
      <c r="L29" s="10">
        <v>13</v>
      </c>
      <c r="M29" s="10">
        <v>9</v>
      </c>
      <c r="N29" s="10">
        <v>3</v>
      </c>
      <c r="O29" s="10">
        <v>0</v>
      </c>
      <c r="P29" s="10">
        <v>0</v>
      </c>
      <c r="Q29" s="10">
        <v>2</v>
      </c>
      <c r="R29" s="10">
        <v>103</v>
      </c>
      <c r="S29" s="10">
        <v>4</v>
      </c>
      <c r="T29" s="10">
        <v>0</v>
      </c>
    </row>
    <row r="30" spans="1:20" s="70" customFormat="1" ht="14.25">
      <c r="A30" s="518"/>
      <c r="B30" s="492"/>
      <c r="C30" s="144" t="s">
        <v>721</v>
      </c>
      <c r="D30" s="10">
        <v>302</v>
      </c>
      <c r="E30" s="10">
        <v>302</v>
      </c>
      <c r="F30" s="10">
        <v>0</v>
      </c>
      <c r="G30" s="10">
        <v>28</v>
      </c>
      <c r="H30" s="10">
        <v>0</v>
      </c>
      <c r="I30" s="10">
        <v>57</v>
      </c>
      <c r="J30" s="10">
        <v>142</v>
      </c>
      <c r="K30" s="10">
        <v>57</v>
      </c>
      <c r="L30" s="10">
        <v>31</v>
      </c>
      <c r="M30" s="10">
        <v>12</v>
      </c>
      <c r="N30" s="10">
        <v>2</v>
      </c>
      <c r="O30" s="10">
        <v>1</v>
      </c>
      <c r="P30" s="10">
        <v>0</v>
      </c>
      <c r="Q30" s="10">
        <v>4</v>
      </c>
      <c r="R30" s="10">
        <v>288</v>
      </c>
      <c r="S30" s="10">
        <v>10</v>
      </c>
      <c r="T30" s="10">
        <v>0</v>
      </c>
    </row>
    <row r="31" spans="1:20" s="70" customFormat="1" ht="14.25">
      <c r="A31" s="518"/>
      <c r="B31" s="491" t="s">
        <v>507</v>
      </c>
      <c r="C31" s="141" t="s">
        <v>719</v>
      </c>
      <c r="D31" s="54">
        <v>513</v>
      </c>
      <c r="E31" s="55">
        <v>513</v>
      </c>
      <c r="F31" s="55">
        <v>0</v>
      </c>
      <c r="G31" s="55">
        <v>30</v>
      </c>
      <c r="H31" s="55">
        <v>0</v>
      </c>
      <c r="I31" s="55">
        <v>72</v>
      </c>
      <c r="J31" s="55">
        <v>229</v>
      </c>
      <c r="K31" s="55">
        <v>111</v>
      </c>
      <c r="L31" s="55">
        <v>63</v>
      </c>
      <c r="M31" s="55">
        <v>28</v>
      </c>
      <c r="N31" s="55">
        <v>8</v>
      </c>
      <c r="O31" s="55">
        <v>2</v>
      </c>
      <c r="P31" s="55">
        <v>0</v>
      </c>
      <c r="Q31" s="55">
        <v>40</v>
      </c>
      <c r="R31" s="55">
        <v>448</v>
      </c>
      <c r="S31" s="55">
        <v>25</v>
      </c>
      <c r="T31" s="55">
        <v>0</v>
      </c>
    </row>
    <row r="32" spans="1:20" s="70" customFormat="1" ht="14.25">
      <c r="A32" s="518"/>
      <c r="B32" s="492"/>
      <c r="C32" s="143" t="s">
        <v>720</v>
      </c>
      <c r="D32" s="10">
        <v>133</v>
      </c>
      <c r="E32" s="10">
        <v>133</v>
      </c>
      <c r="F32" s="10">
        <v>0</v>
      </c>
      <c r="G32" s="10">
        <v>32</v>
      </c>
      <c r="H32" s="10">
        <v>0</v>
      </c>
      <c r="I32" s="10">
        <v>2</v>
      </c>
      <c r="J32" s="10">
        <v>58</v>
      </c>
      <c r="K32" s="10">
        <v>32</v>
      </c>
      <c r="L32" s="10">
        <v>23</v>
      </c>
      <c r="M32" s="10">
        <v>13</v>
      </c>
      <c r="N32" s="10">
        <v>3</v>
      </c>
      <c r="O32" s="10">
        <v>2</v>
      </c>
      <c r="P32" s="10">
        <v>0</v>
      </c>
      <c r="Q32" s="10">
        <v>17</v>
      </c>
      <c r="R32" s="10">
        <v>107</v>
      </c>
      <c r="S32" s="10">
        <v>9</v>
      </c>
      <c r="T32" s="10">
        <v>0</v>
      </c>
    </row>
    <row r="33" spans="1:20" s="70" customFormat="1" ht="14.25">
      <c r="A33" s="518"/>
      <c r="B33" s="492"/>
      <c r="C33" s="144" t="s">
        <v>721</v>
      </c>
      <c r="D33" s="10">
        <v>380</v>
      </c>
      <c r="E33" s="10">
        <v>380</v>
      </c>
      <c r="F33" s="10">
        <v>0</v>
      </c>
      <c r="G33" s="10">
        <v>29</v>
      </c>
      <c r="H33" s="10">
        <v>0</v>
      </c>
      <c r="I33" s="10">
        <v>70</v>
      </c>
      <c r="J33" s="10">
        <v>171</v>
      </c>
      <c r="K33" s="10">
        <v>79</v>
      </c>
      <c r="L33" s="10">
        <v>40</v>
      </c>
      <c r="M33" s="10">
        <v>15</v>
      </c>
      <c r="N33" s="10">
        <v>5</v>
      </c>
      <c r="O33" s="10">
        <v>0</v>
      </c>
      <c r="P33" s="10">
        <v>0</v>
      </c>
      <c r="Q33" s="10">
        <v>23</v>
      </c>
      <c r="R33" s="10">
        <v>341</v>
      </c>
      <c r="S33" s="10">
        <v>16</v>
      </c>
      <c r="T33" s="10">
        <v>0</v>
      </c>
    </row>
    <row r="34" spans="1:20" s="70" customFormat="1" ht="14.25">
      <c r="A34" s="518"/>
      <c r="B34" s="491" t="s">
        <v>506</v>
      </c>
      <c r="C34" s="141" t="s">
        <v>719</v>
      </c>
      <c r="D34" s="54">
        <v>471</v>
      </c>
      <c r="E34" s="55">
        <v>471</v>
      </c>
      <c r="F34" s="55">
        <v>0</v>
      </c>
      <c r="G34" s="55">
        <v>30</v>
      </c>
      <c r="H34" s="55">
        <v>0</v>
      </c>
      <c r="I34" s="55">
        <v>46</v>
      </c>
      <c r="J34" s="55">
        <v>206</v>
      </c>
      <c r="K34" s="55">
        <v>116</v>
      </c>
      <c r="L34" s="55">
        <v>52</v>
      </c>
      <c r="M34" s="55">
        <v>36</v>
      </c>
      <c r="N34" s="55">
        <v>11</v>
      </c>
      <c r="O34" s="55">
        <v>4</v>
      </c>
      <c r="P34" s="55">
        <v>0</v>
      </c>
      <c r="Q34" s="55">
        <v>44</v>
      </c>
      <c r="R34" s="55">
        <v>408</v>
      </c>
      <c r="S34" s="55">
        <v>19</v>
      </c>
      <c r="T34" s="55">
        <v>0</v>
      </c>
    </row>
    <row r="35" spans="1:20" s="70" customFormat="1" ht="14.25">
      <c r="A35" s="518"/>
      <c r="B35" s="492"/>
      <c r="C35" s="143" t="s">
        <v>720</v>
      </c>
      <c r="D35" s="10">
        <v>141</v>
      </c>
      <c r="E35" s="10">
        <v>141</v>
      </c>
      <c r="F35" s="10">
        <v>0</v>
      </c>
      <c r="G35" s="10">
        <v>31</v>
      </c>
      <c r="H35" s="10">
        <v>0</v>
      </c>
      <c r="I35" s="10">
        <v>7</v>
      </c>
      <c r="J35" s="10">
        <v>59</v>
      </c>
      <c r="K35" s="10">
        <v>37</v>
      </c>
      <c r="L35" s="10">
        <v>18</v>
      </c>
      <c r="M35" s="10">
        <v>14</v>
      </c>
      <c r="N35" s="10">
        <v>4</v>
      </c>
      <c r="O35" s="10">
        <v>2</v>
      </c>
      <c r="P35" s="10">
        <v>0</v>
      </c>
      <c r="Q35" s="10">
        <v>25</v>
      </c>
      <c r="R35" s="10">
        <v>103</v>
      </c>
      <c r="S35" s="10">
        <v>13</v>
      </c>
      <c r="T35" s="10">
        <v>0</v>
      </c>
    </row>
    <row r="36" spans="1:20" s="70" customFormat="1" ht="14.25">
      <c r="A36" s="518"/>
      <c r="B36" s="493"/>
      <c r="C36" s="144" t="s">
        <v>721</v>
      </c>
      <c r="D36" s="10">
        <v>330</v>
      </c>
      <c r="E36" s="10">
        <v>330</v>
      </c>
      <c r="F36" s="10">
        <v>0</v>
      </c>
      <c r="G36" s="10">
        <v>30</v>
      </c>
      <c r="H36" s="10">
        <v>0</v>
      </c>
      <c r="I36" s="10">
        <v>39</v>
      </c>
      <c r="J36" s="10">
        <v>147</v>
      </c>
      <c r="K36" s="10">
        <v>79</v>
      </c>
      <c r="L36" s="10">
        <v>34</v>
      </c>
      <c r="M36" s="10">
        <v>22</v>
      </c>
      <c r="N36" s="10">
        <v>7</v>
      </c>
      <c r="O36" s="10">
        <v>2</v>
      </c>
      <c r="P36" s="10">
        <v>0</v>
      </c>
      <c r="Q36" s="10">
        <v>19</v>
      </c>
      <c r="R36" s="10">
        <v>305</v>
      </c>
      <c r="S36" s="10">
        <v>6</v>
      </c>
      <c r="T36" s="10">
        <v>0</v>
      </c>
    </row>
    <row r="37" spans="1:21" s="70" customFormat="1" ht="14.25">
      <c r="A37" s="518"/>
      <c r="B37" s="494" t="s">
        <v>504</v>
      </c>
      <c r="C37" s="141" t="s">
        <v>719</v>
      </c>
      <c r="D37" s="54">
        <v>420</v>
      </c>
      <c r="E37" s="55">
        <v>419</v>
      </c>
      <c r="F37" s="55">
        <v>1</v>
      </c>
      <c r="G37" s="55">
        <v>30</v>
      </c>
      <c r="H37" s="55">
        <v>1</v>
      </c>
      <c r="I37" s="55">
        <v>49</v>
      </c>
      <c r="J37" s="55">
        <v>165</v>
      </c>
      <c r="K37" s="55">
        <v>106</v>
      </c>
      <c r="L37" s="55">
        <v>44</v>
      </c>
      <c r="M37" s="55">
        <v>37</v>
      </c>
      <c r="N37" s="55">
        <v>11</v>
      </c>
      <c r="O37" s="55">
        <v>6</v>
      </c>
      <c r="P37" s="55">
        <v>1</v>
      </c>
      <c r="Q37" s="55">
        <v>59</v>
      </c>
      <c r="R37" s="55">
        <v>345</v>
      </c>
      <c r="S37" s="55">
        <v>16</v>
      </c>
      <c r="T37" s="55">
        <v>0</v>
      </c>
      <c r="U37" s="84"/>
    </row>
    <row r="38" spans="1:21" s="70" customFormat="1" ht="14.25">
      <c r="A38" s="518"/>
      <c r="B38" s="494"/>
      <c r="C38" s="143" t="s">
        <v>720</v>
      </c>
      <c r="D38" s="10">
        <v>167</v>
      </c>
      <c r="E38" s="10">
        <v>166</v>
      </c>
      <c r="F38" s="10">
        <v>1</v>
      </c>
      <c r="G38" s="10">
        <v>32</v>
      </c>
      <c r="H38" s="10">
        <v>0</v>
      </c>
      <c r="I38" s="10">
        <v>6</v>
      </c>
      <c r="J38" s="10">
        <v>60</v>
      </c>
      <c r="K38" s="10">
        <v>54</v>
      </c>
      <c r="L38" s="10">
        <v>20</v>
      </c>
      <c r="M38" s="10">
        <v>15</v>
      </c>
      <c r="N38" s="10">
        <v>7</v>
      </c>
      <c r="O38" s="10">
        <v>5</v>
      </c>
      <c r="P38" s="10">
        <v>0</v>
      </c>
      <c r="Q38" s="10">
        <v>38</v>
      </c>
      <c r="R38" s="10">
        <v>121</v>
      </c>
      <c r="S38" s="10">
        <v>8</v>
      </c>
      <c r="T38" s="10">
        <v>0</v>
      </c>
      <c r="U38" s="84"/>
    </row>
    <row r="39" spans="1:21" s="70" customFormat="1" ht="14.25">
      <c r="A39" s="519"/>
      <c r="B39" s="494"/>
      <c r="C39" s="143" t="s">
        <v>721</v>
      </c>
      <c r="D39" s="132">
        <v>253</v>
      </c>
      <c r="E39" s="31">
        <v>253</v>
      </c>
      <c r="F39" s="31">
        <v>0</v>
      </c>
      <c r="G39" s="31">
        <v>29</v>
      </c>
      <c r="H39" s="31">
        <v>1</v>
      </c>
      <c r="I39" s="31">
        <v>43</v>
      </c>
      <c r="J39" s="31">
        <v>105</v>
      </c>
      <c r="K39" s="31">
        <v>52</v>
      </c>
      <c r="L39" s="31">
        <v>24</v>
      </c>
      <c r="M39" s="31">
        <v>22</v>
      </c>
      <c r="N39" s="31">
        <v>4</v>
      </c>
      <c r="O39" s="31">
        <v>1</v>
      </c>
      <c r="P39" s="31">
        <v>1</v>
      </c>
      <c r="Q39" s="31">
        <v>21</v>
      </c>
      <c r="R39" s="31">
        <v>224</v>
      </c>
      <c r="S39" s="31">
        <v>8</v>
      </c>
      <c r="T39" s="31">
        <v>0</v>
      </c>
      <c r="U39" s="84"/>
    </row>
    <row r="40" spans="1:20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>
      <c r="A44" s="6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53" spans="1:20" ht="15.75">
      <c r="A53" s="486" t="str">
        <f>"- "&amp;Sheet1!F32&amp;" -"</f>
        <v>- 192 -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 t="str">
        <f>"- "&amp;Sheet1!G32&amp;" -"</f>
        <v>- 193 -</v>
      </c>
      <c r="M53" s="486"/>
      <c r="N53" s="486"/>
      <c r="O53" s="486"/>
      <c r="P53" s="486"/>
      <c r="Q53" s="486"/>
      <c r="R53" s="486"/>
      <c r="S53" s="486"/>
      <c r="T53" s="486"/>
    </row>
  </sheetData>
  <sheetProtection/>
  <mergeCells count="26">
    <mergeCell ref="B34:B36"/>
    <mergeCell ref="B22:B24"/>
    <mergeCell ref="B31:B33"/>
    <mergeCell ref="F5:F6"/>
    <mergeCell ref="B10:B12"/>
    <mergeCell ref="B19:B21"/>
    <mergeCell ref="B7:B9"/>
    <mergeCell ref="A7:A21"/>
    <mergeCell ref="B13:B15"/>
    <mergeCell ref="L1:T1"/>
    <mergeCell ref="C3:J3"/>
    <mergeCell ref="M3:S3"/>
    <mergeCell ref="E5:E6"/>
    <mergeCell ref="D5:D6"/>
    <mergeCell ref="A5:C6"/>
    <mergeCell ref="A1:K1"/>
    <mergeCell ref="L53:T53"/>
    <mergeCell ref="Q5:T5"/>
    <mergeCell ref="H5:P5"/>
    <mergeCell ref="G5:G6"/>
    <mergeCell ref="A53:K53"/>
    <mergeCell ref="A22:A39"/>
    <mergeCell ref="B37:B39"/>
    <mergeCell ref="B25:B27"/>
    <mergeCell ref="B16:B18"/>
    <mergeCell ref="B28:B30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S52"/>
  <sheetViews>
    <sheetView view="pageLayout" zoomScaleNormal="85" zoomScaleSheetLayoutView="85" workbookViewId="0" topLeftCell="A31">
      <selection activeCell="A52" sqref="A52:J52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7.75390625" style="89" customWidth="1"/>
    <col min="11" max="11" width="8.50390625" style="89" customWidth="1"/>
    <col min="12" max="17" width="8.625" style="89" customWidth="1"/>
    <col min="18" max="18" width="9.875" style="89" customWidth="1"/>
    <col min="19" max="19" width="9.37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05" t="s">
        <v>723</v>
      </c>
      <c r="B1" s="505"/>
      <c r="C1" s="505"/>
      <c r="D1" s="505"/>
      <c r="E1" s="505"/>
      <c r="F1" s="505"/>
      <c r="G1" s="505"/>
      <c r="H1" s="505"/>
      <c r="I1" s="505"/>
      <c r="J1" s="505"/>
      <c r="K1" s="526" t="s">
        <v>210</v>
      </c>
      <c r="L1" s="526"/>
      <c r="M1" s="526"/>
      <c r="N1" s="526"/>
      <c r="O1" s="526"/>
      <c r="P1" s="526"/>
      <c r="Q1" s="526"/>
      <c r="R1" s="526"/>
      <c r="S1" s="526"/>
      <c r="T1" s="526"/>
    </row>
    <row r="2" spans="1:20" ht="12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489</v>
      </c>
      <c r="D3" s="461"/>
      <c r="E3" s="461"/>
      <c r="F3" s="461"/>
      <c r="G3" s="461"/>
      <c r="H3" s="461"/>
      <c r="I3" s="461"/>
      <c r="J3" s="4" t="s">
        <v>712</v>
      </c>
      <c r="K3" s="61"/>
      <c r="L3" s="461" t="s">
        <v>517</v>
      </c>
      <c r="M3" s="461"/>
      <c r="N3" s="461"/>
      <c r="O3" s="461"/>
      <c r="P3" s="461"/>
      <c r="Q3" s="461"/>
      <c r="R3" s="461"/>
      <c r="S3" s="461"/>
      <c r="T3" s="138" t="s">
        <v>697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391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19" t="s">
        <v>711</v>
      </c>
    </row>
    <row r="7" spans="1:21" s="93" customFormat="1" ht="13.5" customHeight="1">
      <c r="A7" s="532" t="s">
        <v>670</v>
      </c>
      <c r="B7" s="491"/>
      <c r="C7" s="141" t="s">
        <v>719</v>
      </c>
      <c r="D7" s="130">
        <f>SUM(D10,D25,D40,'表32(續1)'!D28,'表32(續1)'!D40,'表32(續2)'!D37,'表32(續2)'!D28,'表32(續2)'!D40,'表32(續3)'!D13,'表32(續3)'!D46,'表32(續4)'!D37,'表32(續5)'!D25,'表32(續6)'!D7,'表32(續6)'!D37,'表32(續6)'!D40,'表32(續7)'!D28,'表32(續8)'!D19,'表32(續9)'!D7,'表32(續9)'!D28,'表32(續10)'!D19,'表32(續11)'!D10,'表32(續11)'!D19,'表32(續11)'!D34,'表32(續12)'!D13,'表32(續12)'!D40,'表32(續完)'!D16,'表32(續完)'!D28,'表32(續完)'!D40)</f>
        <v>60133</v>
      </c>
      <c r="E7" s="131">
        <f>SUM(E10,E25,E40,'表32(續1)'!E28,'表32(續1)'!E40,'表32(續2)'!E37,'表32(續2)'!E28,'表32(續2)'!E40,'表32(續3)'!E13,'表32(續3)'!E46,'表32(續4)'!E37,'表32(續5)'!E25,'表32(續6)'!E7,'表32(續6)'!E37,'表32(續6)'!E40,'表32(續7)'!E28,'表32(續8)'!E19,'表32(續9)'!E7,'表32(續9)'!E28,'表32(續10)'!E19,'表32(續11)'!E10,'表32(續11)'!E19,'表32(續11)'!E34,'表32(續12)'!E13,'表32(續12)'!E40,'表32(續完)'!E16,'表32(續完)'!E28,'表32(續完)'!E40)</f>
        <v>60266</v>
      </c>
      <c r="F7" s="131">
        <f>SUM(F10,F25,F40,'表32(續1)'!F28,'表32(續1)'!F40,'表32(續2)'!F37,'表32(續2)'!F28,'表32(續2)'!F40,'表32(續3)'!F13,'表32(續3)'!F46,'表32(續4)'!F37,'表32(續5)'!F25,'表32(續6)'!F7,'表32(續6)'!F37,'表32(續6)'!F40,'表32(續7)'!F28,'表32(續8)'!F19,'表32(續9)'!F7,'表32(續9)'!F28,'表32(續10)'!F19,'表32(續11)'!F10,'表32(續11)'!F19,'表32(續11)'!F34,'表32(續12)'!F13,'表32(續12)'!F40,'表32(續完)'!F16,'表32(續完)'!F28,'表32(續完)'!F40)</f>
        <v>29</v>
      </c>
      <c r="G7" s="131">
        <v>29</v>
      </c>
      <c r="H7" s="131">
        <f>SUM(H10,H25,H40,'表32(續1)'!H28,'表32(續1)'!H40,'表32(續2)'!H37,'表32(續2)'!H28,'表32(續2)'!H40,'表32(續3)'!H13,'表32(續3)'!H46,'表32(續4)'!H37,'表32(續5)'!H25,'表32(續6)'!H7,'表32(續6)'!H37,'表32(續6)'!H40,'表32(續7)'!H28,'表32(續8)'!H19,'表32(續9)'!H7,'表32(續9)'!H28,'表32(續10)'!H19,'表32(續11)'!H10,'表32(續11)'!H19,'表32(續11)'!H34,'表32(續12)'!H13,'表32(續12)'!H40,'表32(續完)'!H16,'表32(續完)'!H28,'表32(續完)'!H40)</f>
        <v>10</v>
      </c>
      <c r="I7" s="131">
        <f>SUM(I10,I25,I40,'表32(續1)'!I28,'表32(續1)'!I40,'表32(續2)'!I37,'表32(續2)'!I28,'表32(續2)'!I40,'表32(續3)'!I13,'表32(續3)'!I46,'表32(續4)'!I37,'表32(續5)'!I25,'表32(續6)'!I7,'表32(續6)'!I37,'表32(續6)'!I40,'表32(續7)'!I28,'表32(續8)'!I19,'表32(續9)'!I7,'表32(續9)'!I28,'表32(續10)'!I19,'表32(續11)'!I10,'表32(續11)'!I19,'表32(續11)'!I34,'表32(續12)'!I13,'表32(續12)'!I40,'表32(續完)'!I16,'表32(續完)'!I28,'表32(續完)'!I40)</f>
        <v>12746</v>
      </c>
      <c r="J7" s="131">
        <f>SUM(J10,J25,J40,'表32(續1)'!J28,'表32(續1)'!J40,'表32(續2)'!J37,'表32(續2)'!J28,'表32(續2)'!J40,'表32(續3)'!J13,'表32(續3)'!J46,'表32(續4)'!J37,'表32(續5)'!J25,'表32(續6)'!J7,'表32(續6)'!J37,'表32(續6)'!J40,'表32(續7)'!J28,'表32(續8)'!J19,'表32(續9)'!J7,'表32(續9)'!J28,'表32(續10)'!J19,'表32(續11)'!J10,'表32(續11)'!J19,'表32(續11)'!J34,'表32(續12)'!J13,'表32(續12)'!J40,'表32(續完)'!J16,'表32(續完)'!J28,'表32(續完)'!J40)</f>
        <v>25089</v>
      </c>
      <c r="K7" s="131">
        <f>SUM(K10,K25,K40,'表32(續1)'!K28,'表32(續1)'!K40,'表32(續2)'!K37,'表32(續2)'!K28,'表32(續2)'!K40,'表32(續3)'!K13,'表32(續3)'!K46,'表32(續4)'!K37,'表32(續5)'!K25,'表32(續6)'!K7,'表32(續6)'!K37,'表32(續6)'!K40,'表32(續7)'!K28,'表32(續8)'!K19,'表32(續9)'!K7,'表32(續9)'!K28,'表32(續10)'!K19,'表32(續11)'!K10,'表32(續11)'!K19,'表32(續11)'!K34,'表32(續12)'!K13,'表32(續12)'!K40,'表32(續完)'!K16,'表32(續完)'!K28,'表32(續完)'!K40)</f>
        <v>13111</v>
      </c>
      <c r="L7" s="131">
        <f>SUM(L10,L25,L40,'表32(續1)'!L28,'表32(續1)'!L40,'表32(續2)'!L37,'表32(續2)'!L28,'表32(續2)'!L40,'表32(續3)'!L13,'表32(續3)'!L46,'表32(續4)'!L37,'表32(續5)'!L25,'表32(續6)'!L7,'表32(續6)'!L37,'表32(續6)'!L40,'表32(續7)'!L28,'表32(續8)'!L19,'表32(續9)'!L7,'表32(續9)'!L28,'表32(續10)'!L19,'表32(續11)'!L10,'表32(續11)'!L19,'表32(續11)'!L34,'表32(續12)'!L13,'表32(續12)'!L40,'表32(續完)'!L16,'表32(續完)'!L28,'表32(續完)'!L40)</f>
        <v>6158</v>
      </c>
      <c r="M7" s="131">
        <f>SUM(M10,M25,M40,'表32(續1)'!M28,'表32(續1)'!M40,'表32(續2)'!M37,'表32(續2)'!M28,'表32(續2)'!M40,'表32(續3)'!M13,'表32(續3)'!M46,'表32(續4)'!M37,'表32(續5)'!M25,'表32(續6)'!M7,'表32(續6)'!M37,'表32(續6)'!M40,'表32(續7)'!M28,'表32(續8)'!M19,'表32(續9)'!M7,'表32(續9)'!M28,'表32(續10)'!M19,'表32(續11)'!M10,'表32(續11)'!M19,'表32(續11)'!M34,'表32(續12)'!M13,'表32(續12)'!M40,'表32(續完)'!M16,'表32(續完)'!M28,'表32(續完)'!M40)</f>
        <v>2199</v>
      </c>
      <c r="N7" s="131">
        <f>SUM(N10,N25,N40,'表32(續1)'!N28,'表32(續1)'!N40,'表32(續2)'!N37,'表32(續2)'!N28,'表32(續2)'!N40,'表32(續3)'!N13,'表32(續3)'!N46,'表32(續4)'!N37,'表32(續5)'!N25,'表32(續6)'!N7,'表32(續6)'!N37,'表32(續6)'!N40,'表32(續7)'!N28,'表32(續8)'!N19,'表32(續9)'!N7,'表32(續9)'!N28,'表32(續10)'!N19,'表32(續11)'!N10,'表32(續11)'!N19,'表32(續11)'!N34,'表32(續12)'!N13,'表32(續12)'!N40,'表32(續完)'!N16,'表32(續完)'!N28,'表32(續完)'!N40)</f>
        <v>747</v>
      </c>
      <c r="O7" s="131">
        <f>SUM(O10,O25,O40,'表32(續1)'!O28,'表32(續1)'!O40,'表32(續2)'!O37,'表32(續2)'!O28,'表32(續2)'!O40,'表32(續3)'!O13,'表32(續3)'!O46,'表32(續4)'!O37,'表32(續5)'!O25,'表32(續6)'!O7,'表32(續6)'!O37,'表32(續6)'!O40,'表32(續7)'!O28,'表32(續8)'!O19,'表32(續9)'!O7,'表32(續9)'!O28,'表32(續10)'!O19,'表32(續11)'!O10,'表32(續11)'!O19,'表32(續11)'!O34,'表32(續12)'!O13,'表32(續12)'!O40,'表32(續完)'!O16,'表32(續完)'!O28,'表32(續完)'!O40)</f>
        <v>180</v>
      </c>
      <c r="P7" s="131">
        <f>SUM(P10,P25,P40,'表32(續1)'!P28,'表32(續1)'!P40,'表32(續2)'!P37,'表32(續2)'!P28,'表32(續2)'!P40,'表32(續3)'!P13,'表32(續3)'!P46,'表32(續4)'!P37,'表32(續5)'!P25,'表32(續6)'!P7,'表32(續6)'!P37,'表32(續6)'!P40,'表32(續7)'!P28,'表32(續8)'!P19,'表32(續9)'!P7,'表32(續9)'!P28,'表32(續10)'!P19,'表32(續11)'!P10,'表32(續11)'!P19,'表32(續11)'!P34,'表32(續12)'!P13,'表32(續12)'!P40,'表32(續完)'!P16,'表32(續完)'!P28,'表32(續完)'!P40)</f>
        <v>49</v>
      </c>
      <c r="Q7" s="131">
        <f>SUM(Q10,Q25,Q40,'表32(續1)'!Q28,'表32(續1)'!Q40,'表32(續2)'!Q37,'表32(續2)'!Q28,'表32(續2)'!Q40,'表32(續3)'!Q13,'表32(續3)'!Q46,'表32(續4)'!Q37,'表32(續5)'!Q25,'表32(續6)'!Q7,'表32(續6)'!Q37,'表32(續6)'!Q40,'表32(續7)'!Q28,'表32(續8)'!Q19,'表32(續9)'!Q7,'表32(續9)'!Q28,'表32(續10)'!Q19,'表32(續11)'!Q10,'表32(續11)'!Q19,'表32(續11)'!Q34,'表32(續12)'!Q13,'表32(續12)'!Q40,'表32(續完)'!Q16,'表32(續完)'!Q28,'表32(續完)'!Q40)</f>
        <v>3247</v>
      </c>
      <c r="R7" s="131">
        <f>SUM(R10,R25,R40,'表32(續1)'!R28,'表32(續1)'!R40,'表32(續2)'!R37,'表32(續2)'!R28,'表32(續2)'!R40,'表32(續3)'!R13,'表32(續3)'!R46,'表32(續4)'!R37,'表32(續5)'!R25,'表32(續6)'!R7,'表32(續6)'!R37,'表32(續6)'!R40,'表32(續7)'!R28,'表32(續8)'!R19,'表32(續9)'!R7,'表32(續9)'!R28,'表32(續10)'!R19,'表32(續11)'!R10,'表32(續11)'!R19,'表32(續11)'!R34,'表32(續12)'!R13,'表32(續12)'!R40,'表32(續完)'!R16,'表32(續完)'!R28,'表32(續完)'!R40)</f>
        <v>46505</v>
      </c>
      <c r="S7" s="131">
        <f>SUM(S10,S25,S40,'表32(續1)'!S28,'表32(續1)'!S40,'表32(續2)'!S37,'表32(續2)'!S28,'表32(續2)'!S40,'表32(續3)'!S13,'表32(續3)'!S46,'表32(續4)'!S37,'表32(續5)'!S25,'表32(續6)'!S7,'表32(續6)'!S37,'表32(續6)'!S40,'表32(續7)'!S28,'表32(續8)'!S19,'表32(續9)'!S7,'表32(續9)'!S28,'表32(續10)'!S19,'表32(續11)'!S10,'表32(續11)'!S19,'表32(續11)'!S34,'表32(續12)'!S13,'表32(續12)'!S40,'表32(續完)'!S16,'表32(續完)'!S28,'表32(續完)'!S40)</f>
        <v>3121</v>
      </c>
      <c r="T7" s="131">
        <f>SUM(T10,T25,T40,'表32(續1)'!T28,'表32(續1)'!T40,'表32(續2)'!T37,'表32(續2)'!T28,'表32(續2)'!T40,'表32(續3)'!T13,'表32(續3)'!T46,'表32(續4)'!T37,'表32(續5)'!T25,'表32(續6)'!T7,'表32(續6)'!T37,'表32(續6)'!T40,'表32(續7)'!T28,'表32(續8)'!T19,'表32(續9)'!T7,'表32(續9)'!T28,'表32(續10)'!T19,'表32(續11)'!T10,'表32(續11)'!T19,'表32(續11)'!T34,'表32(續12)'!T13,'表32(續12)'!T40,'表32(續完)'!T16,'表32(續完)'!T28,'表32(續完)'!T40)</f>
        <v>42</v>
      </c>
      <c r="U7" s="94"/>
    </row>
    <row r="8" spans="1:20" s="93" customFormat="1" ht="13.5" customHeight="1">
      <c r="A8" s="533"/>
      <c r="B8" s="492"/>
      <c r="C8" s="143" t="s">
        <v>720</v>
      </c>
      <c r="D8" s="24">
        <f>SUM(D11,D26,D41,'表32(續1)'!D29,'表32(續1)'!D41,'表32(續2)'!D38,'表32(續2)'!D29,'表32(續2)'!D41,'表32(續3)'!D14,'表32(續3)'!D47,'表32(續4)'!D38,'表32(續5)'!D26,'表32(續6)'!D8,'表32(續6)'!D38,'表32(續6)'!D41,'表32(續7)'!D29,'表32(續8)'!D20,'表32(續9)'!D8,'表32(續9)'!D29,'表32(續10)'!D20,'表32(續11)'!D11,'表32(續11)'!D20,'表32(續11)'!D35,'表32(續12)'!D14,'表32(續12)'!D41,'表32(續完)'!D17,'表32(續完)'!D29,'表32(續完)'!D41)</f>
        <v>38986</v>
      </c>
      <c r="E8" s="10">
        <f>SUM(E11,E26,E41,'表32(續1)'!E29,'表32(續1)'!E41,'表32(續2)'!E38,'表32(續2)'!E29,'表32(續2)'!E41,'表32(續3)'!E14,'表32(續3)'!E47,'表32(續4)'!E38,'表32(續5)'!E26,'表32(續6)'!E8,'表32(續6)'!E38,'表32(續6)'!E41,'表32(續7)'!E29,'表32(續8)'!E20,'表32(續9)'!E8,'表32(續9)'!E29,'表32(續10)'!E20,'表32(續11)'!E11,'表32(續11)'!E20,'表32(續11)'!E35,'表32(續12)'!E14,'表32(續12)'!E41,'表32(續完)'!E17,'表32(續完)'!E29,'表32(續完)'!E41)</f>
        <v>38965</v>
      </c>
      <c r="F8" s="10">
        <f>SUM(F11,F26,F41,'表32(續1)'!F29,'表32(續1)'!F41,'表32(續2)'!F38,'表32(續2)'!F29,'表32(續2)'!F41,'表32(續3)'!F14,'表32(續3)'!F47,'表32(續4)'!F38,'表32(續5)'!F26,'表32(續6)'!F8,'表32(續6)'!F38,'表32(續6)'!F41,'表32(續7)'!F29,'表32(續8)'!F20,'表32(續9)'!F8,'表32(續9)'!F29,'表32(續10)'!F20,'表32(續11)'!F11,'表32(續11)'!F20,'表32(續11)'!F35,'表32(續12)'!F14,'表32(續12)'!F41,'表32(續完)'!F17,'表32(續完)'!F29,'表32(續完)'!F41)</f>
        <v>21</v>
      </c>
      <c r="G8" s="10">
        <v>28</v>
      </c>
      <c r="H8" s="10">
        <f>SUM(H11,H26,H41,'表32(續1)'!H29,'表32(續1)'!H41,'表32(續2)'!H38,'表32(續2)'!H29,'表32(續2)'!H41,'表32(續3)'!H14,'表32(續3)'!H47,'表32(續4)'!H38,'表32(續5)'!H26,'表32(續6)'!H8,'表32(續6)'!H38,'表32(續6)'!H41,'表32(續7)'!H29,'表32(續8)'!H20,'表32(續9)'!H8,'表32(續9)'!H29,'表32(續10)'!H20,'表32(續11)'!H11,'表32(續11)'!H20,'表32(續11)'!H35,'表32(續12)'!H14,'表32(續12)'!H41,'表32(續完)'!H17,'表32(續完)'!H29,'表32(續完)'!H41)</f>
        <v>9</v>
      </c>
      <c r="I8" s="10">
        <f>SUM(I11,I26,I41,'表32(續1)'!I29,'表32(續1)'!I41,'表32(續2)'!I38,'表32(續2)'!I29,'表32(續2)'!I41,'表32(續3)'!I14,'表32(續3)'!I47,'表32(續4)'!I38,'表32(續5)'!I26,'表32(續6)'!I8,'表32(續6)'!I38,'表32(續6)'!I41,'表32(續7)'!I29,'表32(續8)'!I20,'表32(續9)'!I8,'表32(續9)'!I29,'表32(續10)'!I20,'表32(續11)'!I11,'表32(續11)'!I20,'表32(續11)'!I35,'表32(續12)'!I14,'表32(續12)'!I41,'表32(續完)'!I17,'表32(續完)'!I29,'表32(續完)'!I41)</f>
        <v>9433</v>
      </c>
      <c r="J8" s="10">
        <f>SUM(J11,J26,J41,'表32(續1)'!J29,'表32(續1)'!J41,'表32(續2)'!J38,'表32(續2)'!J29,'表32(續2)'!J41,'表32(續3)'!J14,'表32(續3)'!J47,'表32(續4)'!J38,'表32(續5)'!J26,'表32(續6)'!J8,'表32(續6)'!J38,'表32(續6)'!J41,'表32(續7)'!J29,'表32(續8)'!J20,'表32(續9)'!J8,'表32(續9)'!J29,'表32(續10)'!J20,'表32(續11)'!J11,'表32(續11)'!J20,'表32(續11)'!J35,'表32(續12)'!J14,'表32(續12)'!J41,'表32(續完)'!J17,'表32(續完)'!J29,'表32(續完)'!J41)</f>
        <v>15057</v>
      </c>
      <c r="K8" s="10">
        <f>SUM(K11,K26,K41,'表32(續1)'!K29,'表32(續1)'!K41,'表32(續2)'!K38,'表32(續2)'!K29,'表32(續2)'!K41,'表32(續3)'!K14,'表32(續3)'!K47,'表32(續4)'!K38,'表32(續5)'!K26,'表32(續6)'!K8,'表32(續6)'!K38,'表32(續6)'!K41,'表32(續7)'!K29,'表32(續8)'!K20,'表32(續9)'!K8,'表32(續9)'!K29,'表32(續10)'!K20,'表32(續11)'!K11,'表32(續11)'!K20,'表32(續11)'!K35,'表32(續12)'!K14,'表32(續12)'!K41,'表32(續完)'!K17,'表32(續完)'!K29,'表32(續完)'!K41)</f>
        <v>8198</v>
      </c>
      <c r="L8" s="10">
        <f>SUM(L11,L26,L41,'表32(續1)'!L29,'表32(續1)'!L41,'表32(續2)'!L38,'表32(續2)'!L29,'表32(續2)'!L41,'表32(續3)'!L14,'表32(續3)'!L47,'表32(續4)'!L38,'表32(續5)'!L26,'表32(續6)'!L8,'表32(續6)'!L38,'表32(續6)'!L41,'表32(續7)'!L29,'表32(續8)'!L20,'表32(續9)'!L8,'表32(續9)'!L29,'表32(續10)'!L20,'表32(續11)'!L11,'表32(續11)'!L20,'表32(續11)'!L35,'表32(續12)'!L14,'表32(續12)'!L41,'表32(續完)'!L17,'表32(續完)'!L29,'表32(續完)'!L41)</f>
        <v>4093</v>
      </c>
      <c r="M8" s="10">
        <f>SUM(M11,M26,M41,'表32(續1)'!M29,'表32(續1)'!M41,'表32(續2)'!M38,'表32(續2)'!M29,'表32(續2)'!M41,'表32(續3)'!M14,'表32(續3)'!M47,'表32(續4)'!M38,'表32(續5)'!M26,'表32(續6)'!M8,'表32(續6)'!M38,'表32(續6)'!M41,'表32(續7)'!M29,'表32(續8)'!M20,'表32(續9)'!M8,'表32(續9)'!M29,'表32(續10)'!M20,'表32(續11)'!M11,'表32(續11)'!M20,'表32(續11)'!M35,'表32(續12)'!M14,'表32(續12)'!M41,'表32(續完)'!M17,'表32(續完)'!M29,'表32(續完)'!M41)</f>
        <v>1483</v>
      </c>
      <c r="N8" s="10">
        <f>SUM(N11,N26,N41,'表32(續1)'!N29,'表32(續1)'!N41,'表32(續2)'!N38,'表32(續2)'!N29,'表32(續2)'!N41,'表32(續3)'!N14,'表32(續3)'!N47,'表32(續4)'!N38,'表32(續5)'!N26,'表32(續6)'!N8,'表32(續6)'!N38,'表32(續6)'!N41,'表32(續7)'!N29,'表32(續8)'!N20,'表32(續9)'!N8,'表32(續9)'!N29,'表32(續10)'!N20,'表32(續11)'!N11,'表32(續11)'!N20,'表32(續11)'!N35,'表32(續12)'!N14,'表32(續12)'!N41,'表32(續完)'!N17,'表32(續完)'!N29,'表32(續完)'!N41)</f>
        <v>520</v>
      </c>
      <c r="O8" s="10">
        <f>SUM(O11,O26,O41,'表32(續1)'!O29,'表32(續1)'!O41,'表32(續2)'!O38,'表32(續2)'!O29,'表32(續2)'!O41,'表32(續3)'!O14,'表32(續3)'!O47,'表32(續4)'!O38,'表32(續5)'!O26,'表32(續6)'!O8,'表32(續6)'!O38,'表32(續6)'!O41,'表32(續7)'!O29,'表32(續8)'!O20,'表32(續9)'!O8,'表32(續9)'!O29,'表32(續10)'!O20,'表32(續11)'!O11,'表32(續11)'!O20,'表32(續11)'!O35,'表32(續12)'!O14,'表32(續12)'!O41,'表32(續完)'!O17,'表32(續完)'!O29,'表32(續完)'!O41)</f>
        <v>140</v>
      </c>
      <c r="P8" s="10">
        <f>SUM(P11,P26,P41,'表32(續1)'!P29,'表32(續1)'!P41,'表32(續2)'!P38,'表32(續2)'!P29,'表32(續2)'!P41,'表32(續3)'!P14,'表32(續3)'!P47,'表32(續4)'!P38,'表32(續5)'!P26,'表32(續6)'!P8,'表32(續6)'!P38,'表32(續6)'!P41,'表32(續7)'!P29,'表32(續8)'!P20,'表32(續9)'!P8,'表32(續9)'!P29,'表32(續10)'!P20,'表32(續11)'!P11,'表32(續11)'!P20,'表32(續11)'!P35,'表32(續12)'!P14,'表32(續12)'!P41,'表32(續完)'!P17,'表32(續完)'!P29,'表32(續完)'!P41)</f>
        <v>48</v>
      </c>
      <c r="Q8" s="10">
        <f>SUM(Q11,Q26,Q41,'表32(續1)'!Q29,'表32(續1)'!Q41,'表32(續2)'!Q38,'表32(續2)'!Q29,'表32(續2)'!Q41,'表32(續3)'!Q14,'表32(續3)'!Q47,'表32(續4)'!Q38,'表32(續5)'!Q26,'表32(續6)'!Q8,'表32(續6)'!Q38,'表32(續6)'!Q41,'表32(續7)'!Q29,'表32(續8)'!Q20,'表32(續9)'!Q8,'表32(續9)'!Q29,'表32(續10)'!Q20,'表32(續11)'!Q11,'表32(續11)'!Q20,'表32(續11)'!Q35,'表32(續12)'!Q14,'表32(續12)'!Q41,'表32(續完)'!Q17,'表32(續完)'!Q29,'表32(續完)'!Q41)</f>
        <v>2191</v>
      </c>
      <c r="R8" s="10">
        <f>SUM(R11,R26,R41,'表32(續1)'!R29,'表32(續1)'!R41,'表32(續2)'!R38,'表32(續2)'!R29,'表32(續2)'!R41,'表32(續3)'!R14,'表32(續3)'!R47,'表32(續4)'!R38,'表32(續5)'!R26,'表32(續6)'!R8,'表32(續6)'!R38,'表32(續6)'!R41,'表32(續7)'!R29,'表32(續8)'!R20,'表32(續9)'!R8,'表32(續9)'!R29,'表32(續10)'!R20,'表32(續11)'!R11,'表32(續11)'!R20,'表32(續11)'!R35,'表32(續12)'!R14,'表32(續12)'!R41,'表32(續完)'!R17,'表32(續完)'!R29,'表32(續完)'!R41)</f>
        <v>29492</v>
      </c>
      <c r="S8" s="10">
        <f>SUM(S11,S26,S41,'表32(續1)'!S29,'表32(續1)'!S41,'表32(續2)'!S38,'表32(續2)'!S29,'表32(續2)'!S41,'表32(續3)'!S14,'表32(續3)'!S47,'表32(續4)'!S38,'表32(續5)'!S26,'表32(續6)'!S8,'表32(續6)'!S38,'表32(續6)'!S41,'表32(續7)'!S29,'表32(續8)'!S20,'表32(續9)'!S8,'表32(續9)'!S29,'表32(續10)'!S20,'表32(續11)'!S11,'表32(續11)'!S20,'表32(續11)'!S35,'表32(續12)'!S14,'表32(續12)'!S41,'表32(續完)'!S17,'表32(續完)'!S29,'表32(續完)'!S41)</f>
        <v>2125</v>
      </c>
      <c r="T8" s="10">
        <f>SUM(T11,T26,T41,'表32(續1)'!T29,'表32(續1)'!T41,'表32(續2)'!T38,'表32(續2)'!T29,'表32(續2)'!T41,'表32(續3)'!T14,'表32(續3)'!T47,'表32(續4)'!T38,'表32(續5)'!T26,'表32(續6)'!T8,'表32(續6)'!T38,'表32(續6)'!T41,'表32(續7)'!T29,'表32(續8)'!T20,'表32(續9)'!T8,'表32(續9)'!T29,'表32(續10)'!T20,'表32(續11)'!T11,'表32(續11)'!T20,'表32(續11)'!T35,'表32(續12)'!T14,'表32(續12)'!T41,'表32(續完)'!T17,'表32(續完)'!T29,'表32(續完)'!T41)</f>
        <v>30</v>
      </c>
    </row>
    <row r="9" spans="1:20" s="93" customFormat="1" ht="13.5" customHeight="1">
      <c r="A9" s="533"/>
      <c r="B9" s="492"/>
      <c r="C9" s="235" t="s">
        <v>721</v>
      </c>
      <c r="D9" s="24">
        <f>SUM(D12,D27,D42,'表32(續1)'!D30,'表32(續1)'!D42,'表32(續2)'!D39,'表32(續2)'!D30,'表32(續2)'!D42,'表32(續3)'!D15,'表32(續3)'!D48,'表32(續4)'!D39,'表32(續5)'!D27,'表32(續6)'!D9,'表32(續6)'!D39,'表32(續6)'!D42,'表32(續7)'!D30,'表32(續8)'!D21,'表32(續9)'!D9,'表32(續9)'!D30,'表32(續10)'!D21,'表32(續11)'!D12,'表32(續11)'!D21,'表32(續11)'!D36,'表32(續12)'!D15,'表32(續12)'!D42,'表32(續完)'!D18,'表32(續完)'!D30,'表32(續完)'!D42)</f>
        <v>21147</v>
      </c>
      <c r="E9" s="10">
        <f>SUM(E12,E27,E42,'表32(續1)'!E30,'表32(續1)'!E42,'表32(續2)'!E39,'表32(續2)'!E30,'表32(續2)'!E42,'表32(續3)'!E15,'表32(續3)'!E48,'表32(續4)'!E39,'表32(續5)'!E27,'表32(續6)'!E9,'表32(續6)'!E39,'表32(續6)'!E42,'表32(續7)'!E30,'表32(續8)'!E21,'表32(續9)'!E9,'表32(續9)'!E30,'表32(續10)'!E21,'表32(續11)'!E12,'表32(續11)'!E21,'表32(續11)'!E36,'表32(續12)'!E15,'表32(續12)'!E42,'表32(續完)'!E18,'表32(續完)'!E30,'表32(續完)'!E42)</f>
        <v>21139</v>
      </c>
      <c r="F9" s="10">
        <f>SUM(F12,F27,F42,'表32(續1)'!F30,'表32(續1)'!F42,'表32(續2)'!F39,'表32(續2)'!F30,'表32(續2)'!F42,'表32(續3)'!F15,'表32(續3)'!F48,'表32(續4)'!F39,'表32(續5)'!F27,'表32(續6)'!F9,'表32(續6)'!F39,'表32(續6)'!F42,'表32(續7)'!F30,'表32(續8)'!F21,'表32(續9)'!F9,'表32(續9)'!F30,'表32(續10)'!F21,'表32(續11)'!F12,'表32(續11)'!F21,'表32(續11)'!F36,'表32(續12)'!F15,'表32(續12)'!F42,'表32(續完)'!F18,'表32(續完)'!F30,'表32(續完)'!F42)</f>
        <v>8</v>
      </c>
      <c r="G9" s="10">
        <v>31</v>
      </c>
      <c r="H9" s="10">
        <f>SUM(H12,H27,H42,'表32(續1)'!H30,'表32(續1)'!H42,'表32(續2)'!H39,'表32(續2)'!H30,'表32(續2)'!H42,'表32(續3)'!H15,'表32(續3)'!H48,'表32(續4)'!H39,'表32(續5)'!H27,'表32(續6)'!H9,'表32(續6)'!H39,'表32(續6)'!H42,'表32(續7)'!H30,'表32(續8)'!H21,'表32(續9)'!H9,'表32(續9)'!H30,'表32(續10)'!H21,'表32(續11)'!H12,'表32(續11)'!H21,'表32(續11)'!H36,'表32(續12)'!H15,'表32(續12)'!H42,'表32(續完)'!H18,'表32(續完)'!H30,'表32(續完)'!H42)</f>
        <v>1</v>
      </c>
      <c r="I9" s="10">
        <f>SUM(I12,I27,I42,'表32(續1)'!I30,'表32(續1)'!I42,'表32(續2)'!I39,'表32(續2)'!I30,'表32(續2)'!I42,'表32(續3)'!I15,'表32(續3)'!I48,'表32(續4)'!I39,'表32(續5)'!I27,'表32(續6)'!I9,'表32(續6)'!I39,'表32(續6)'!I42,'表32(續7)'!I30,'表32(續8)'!I21,'表32(續9)'!I9,'表32(續9)'!I30,'表32(續10)'!I21,'表32(續11)'!I12,'表32(續11)'!I21,'表32(續11)'!I36,'表32(續12)'!I15,'表32(續12)'!I42,'表32(續完)'!I18,'表32(續完)'!I30,'表32(續完)'!I42)</f>
        <v>3309</v>
      </c>
      <c r="J9" s="10">
        <f>SUM(J12,J27,J42,'表32(續1)'!J30,'表32(續1)'!J42,'表32(續2)'!J39,'表32(續2)'!J30,'表32(續2)'!J42,'表32(續3)'!J15,'表32(續3)'!J48,'表32(續4)'!J39,'表32(續5)'!J27,'表32(續6)'!J9,'表32(續6)'!J39,'表32(續6)'!J42,'表32(續7)'!J30,'表32(續8)'!J21,'表32(續9)'!J9,'表32(續9)'!J30,'表32(續10)'!J21,'表32(續11)'!J12,'表32(續11)'!J21,'表32(續11)'!J36,'表32(續12)'!J15,'表32(續12)'!J42,'表32(續完)'!J18,'表32(續完)'!J30,'表32(續完)'!J42)</f>
        <v>9974</v>
      </c>
      <c r="K9" s="10">
        <f>SUM(K12,K27,K42,'表32(續1)'!K30,'表32(續1)'!K42,'表32(續2)'!K39,'表32(續2)'!K30,'表32(續2)'!K42,'表32(續3)'!K15,'表32(續3)'!K48,'表32(續4)'!K39,'表32(續5)'!K27,'表32(續6)'!K9,'表32(續6)'!K39,'表32(續6)'!K42,'表32(續7)'!K30,'表32(續8)'!K21,'表32(續9)'!K9,'表32(續9)'!K30,'表32(續10)'!K21,'表32(續11)'!K12,'表32(續11)'!K21,'表32(續11)'!K36,'表32(續12)'!K15,'表32(續12)'!K42,'表32(續完)'!K18,'表32(續完)'!K30,'表32(續完)'!K42)</f>
        <v>4859</v>
      </c>
      <c r="L9" s="10">
        <f>SUM(L12,L27,L42,'表32(續1)'!L30,'表32(續1)'!L42,'表32(續2)'!L39,'表32(續2)'!L30,'表32(續2)'!L42,'表32(續3)'!L15,'表32(續3)'!L48,'表32(續4)'!L39,'表32(續5)'!L27,'表32(續6)'!L9,'表32(續6)'!L39,'表32(續6)'!L42,'表32(續7)'!L30,'表32(續8)'!L21,'表32(續9)'!L9,'表32(續9)'!L30,'表32(續10)'!L21,'表32(續11)'!L12,'表32(續11)'!L21,'表32(續11)'!L36,'表32(續12)'!L15,'表32(續12)'!L42,'表32(續完)'!L18,'表32(續完)'!L30,'表32(續完)'!L42)</f>
        <v>2037</v>
      </c>
      <c r="M9" s="10">
        <f>SUM(M12,M27,M42,'表32(續1)'!M30,'表32(續1)'!M42,'表32(續2)'!M39,'表32(續2)'!M30,'表32(續2)'!M42,'表32(續3)'!M15,'表32(續3)'!M48,'表32(續4)'!M39,'表32(續5)'!M27,'表32(續6)'!M9,'表32(續6)'!M39,'表32(續6)'!M42,'表32(續7)'!M30,'表32(續8)'!M21,'表32(續9)'!M9,'表32(續9)'!M30,'表32(續10)'!M21,'表32(續11)'!M12,'表32(續11)'!M21,'表32(續11)'!M36,'表32(續12)'!M15,'表32(續12)'!M42,'表32(續完)'!M18,'表32(續完)'!M30,'表32(續完)'!M42)</f>
        <v>702</v>
      </c>
      <c r="N9" s="10">
        <f>SUM(N12,N27,N42,'表32(續1)'!N30,'表32(續1)'!N42,'表32(續2)'!N39,'表32(續2)'!N30,'表32(續2)'!N42,'表32(續3)'!N15,'表32(續3)'!N48,'表32(續4)'!N39,'表32(續5)'!N27,'表32(續6)'!N9,'表32(續6)'!N39,'表32(續6)'!N42,'表32(續7)'!N30,'表32(續8)'!N21,'表32(續9)'!N9,'表32(續9)'!N30,'表32(續10)'!N21,'表32(續11)'!N12,'表32(續11)'!N21,'表32(續11)'!N36,'表32(續12)'!N15,'表32(續12)'!N42,'表32(續完)'!N18,'表32(續完)'!N30,'表32(續完)'!N42)</f>
        <v>223</v>
      </c>
      <c r="O9" s="10">
        <f>SUM(O12,O27,O42,'表32(續1)'!O30,'表32(續1)'!O42,'表32(續2)'!O39,'表32(續2)'!O30,'表32(續2)'!O42,'表32(續3)'!O15,'表32(續3)'!O48,'表32(續4)'!O39,'表32(續5)'!O27,'表32(續6)'!O9,'表32(續6)'!O39,'表32(續6)'!O42,'表32(續7)'!O30,'表32(續8)'!O21,'表32(續9)'!O9,'表32(續9)'!O30,'表32(續10)'!O21,'表32(續11)'!O12,'表32(續11)'!O21,'表32(續11)'!O36,'表32(續12)'!O15,'表32(續12)'!O42,'表32(續完)'!O18,'表32(續完)'!O30,'表32(續完)'!O42)</f>
        <v>40</v>
      </c>
      <c r="P9" s="10">
        <f>SUM(P12,P27,P42,'表32(續1)'!P30,'表32(續1)'!P42,'表32(續2)'!P39,'表32(續2)'!P30,'表32(續2)'!P42,'表32(續3)'!P15,'表32(續3)'!P48,'表32(續4)'!P39,'表32(續5)'!P27,'表32(續6)'!P9,'表32(續6)'!P39,'表32(續6)'!P42,'表32(續7)'!P30,'表32(續8)'!P21,'表32(續9)'!P9,'表32(續9)'!P30,'表32(續10)'!P21,'表32(續11)'!P12,'表32(續11)'!P21,'表32(續11)'!P36,'表32(續12)'!P15,'表32(續12)'!P42,'表32(續完)'!P18,'表32(續完)'!P30,'表32(續完)'!P42)</f>
        <v>1</v>
      </c>
      <c r="Q9" s="10">
        <f>SUM(Q12,Q27,Q42,'表32(續1)'!Q30,'表32(續1)'!Q42,'表32(續2)'!Q39,'表32(續2)'!Q30,'表32(續2)'!Q42,'表32(續3)'!Q15,'表32(續3)'!Q48,'表32(續4)'!Q39,'表32(續5)'!Q27,'表32(續6)'!Q9,'表32(續6)'!Q39,'表32(續6)'!Q42,'表32(續7)'!Q30,'表32(續8)'!Q21,'表32(續9)'!Q9,'表32(續9)'!Q30,'表32(續10)'!Q21,'表32(續11)'!Q12,'表32(續11)'!Q21,'表32(續11)'!Q36,'表32(續12)'!Q15,'表32(續12)'!Q42,'表32(續完)'!Q18,'表32(續完)'!Q30,'表32(續完)'!Q42)</f>
        <v>1056</v>
      </c>
      <c r="R9" s="10">
        <f>SUM(R12,R27,R42,'表32(續1)'!R30,'表32(續1)'!R42,'表32(續2)'!R39,'表32(續2)'!R30,'表32(續2)'!R42,'表32(續3)'!R15,'表32(續3)'!R48,'表32(續4)'!R39,'表32(續5)'!R27,'表32(續6)'!R9,'表32(續6)'!R39,'表32(續6)'!R42,'表32(續7)'!R30,'表32(續8)'!R21,'表32(續9)'!R9,'表32(續9)'!R30,'表32(續10)'!R21,'表32(續11)'!R12,'表32(續11)'!R21,'表32(續11)'!R36,'表32(續12)'!R15,'表32(續12)'!R42,'表32(續完)'!R18,'表32(續完)'!R30,'表32(續完)'!R42)</f>
        <v>16889</v>
      </c>
      <c r="S9" s="10">
        <f>SUM(S12,S27,S42,'表32(續1)'!S30,'表32(續1)'!S42,'表32(續2)'!S39,'表32(續2)'!S30,'表32(續2)'!S42,'表32(續3)'!S15,'表32(續3)'!S48,'表32(續4)'!S39,'表32(續5)'!S27,'表32(續6)'!S9,'表32(續6)'!S39,'表32(續6)'!S42,'表32(續7)'!S30,'表32(續8)'!S21,'表32(續9)'!S9,'表32(續9)'!S30,'表32(續10)'!S21,'表32(續11)'!S12,'表32(續11)'!S21,'表32(續11)'!S36,'表32(續12)'!S15,'表32(續12)'!S42,'表32(續完)'!S18,'表32(續完)'!S30,'表32(續完)'!S42)</f>
        <v>958</v>
      </c>
      <c r="T9" s="10">
        <f>SUM(T12,T27,T42,'表32(續1)'!T30,'表32(續1)'!T42,'表32(續2)'!T39,'表32(續2)'!T30,'表32(續2)'!T42,'表32(續3)'!T15,'表32(續3)'!T48,'表32(續4)'!T39,'表32(續5)'!T27,'表32(續6)'!T9,'表32(續6)'!T39,'表32(續6)'!T42,'表32(續7)'!T30,'表32(續8)'!T21,'表32(續9)'!T9,'表32(續9)'!T30,'表32(續10)'!T21,'表32(續11)'!T12,'表32(續11)'!T21,'表32(續11)'!T36,'表32(續12)'!T15,'表32(續12)'!T42,'表32(續完)'!T18,'表32(續完)'!T30,'表32(續完)'!T42)</f>
        <v>12</v>
      </c>
    </row>
    <row r="10" spans="1:20" s="93" customFormat="1" ht="13.5" customHeight="1">
      <c r="A10" s="524" t="s">
        <v>523</v>
      </c>
      <c r="B10" s="534" t="s">
        <v>518</v>
      </c>
      <c r="C10" s="234" t="s">
        <v>719</v>
      </c>
      <c r="D10" s="54">
        <f>SUM(D11:D12)</f>
        <v>1645</v>
      </c>
      <c r="E10" s="55">
        <f>SUM(E11:E12)</f>
        <v>1645</v>
      </c>
      <c r="F10" s="55">
        <f>SUM(F11:F12)</f>
        <v>0</v>
      </c>
      <c r="G10" s="55">
        <f>SUM(G13,G16,G19,G22)/4</f>
        <v>30</v>
      </c>
      <c r="H10" s="55">
        <f aca="true" t="shared" si="0" ref="H10:T10">SUM(H11:H12)</f>
        <v>0</v>
      </c>
      <c r="I10" s="55">
        <f t="shared" si="0"/>
        <v>108</v>
      </c>
      <c r="J10" s="55">
        <f t="shared" si="0"/>
        <v>733</v>
      </c>
      <c r="K10" s="55">
        <f t="shared" si="0"/>
        <v>527</v>
      </c>
      <c r="L10" s="55">
        <f t="shared" si="0"/>
        <v>208</v>
      </c>
      <c r="M10" s="55">
        <f t="shared" si="0"/>
        <v>63</v>
      </c>
      <c r="N10" s="55">
        <f t="shared" si="0"/>
        <v>6</v>
      </c>
      <c r="O10" s="55">
        <f t="shared" si="0"/>
        <v>0</v>
      </c>
      <c r="P10" s="55">
        <f t="shared" si="0"/>
        <v>0</v>
      </c>
      <c r="Q10" s="55">
        <f t="shared" si="0"/>
        <v>0</v>
      </c>
      <c r="R10" s="55">
        <f t="shared" si="0"/>
        <v>19</v>
      </c>
      <c r="S10" s="55">
        <f t="shared" si="0"/>
        <v>0</v>
      </c>
      <c r="T10" s="55">
        <f t="shared" si="0"/>
        <v>0</v>
      </c>
    </row>
    <row r="11" spans="1:20" s="93" customFormat="1" ht="13.5" customHeight="1">
      <c r="A11" s="525"/>
      <c r="B11" s="516"/>
      <c r="C11" s="124" t="s">
        <v>720</v>
      </c>
      <c r="D11" s="24">
        <f aca="true" t="shared" si="1" ref="D11:F12">SUM(D14,D17,D20,D23)</f>
        <v>845</v>
      </c>
      <c r="E11" s="10">
        <f t="shared" si="1"/>
        <v>845</v>
      </c>
      <c r="F11" s="10">
        <f t="shared" si="1"/>
        <v>0</v>
      </c>
      <c r="G11" s="10">
        <v>30</v>
      </c>
      <c r="H11" s="10">
        <f aca="true" t="shared" si="2" ref="H11:T11">SUM(H14,H17,H20,H23)</f>
        <v>0</v>
      </c>
      <c r="I11" s="10">
        <f t="shared" si="2"/>
        <v>15</v>
      </c>
      <c r="J11" s="10">
        <f t="shared" si="2"/>
        <v>359</v>
      </c>
      <c r="K11" s="10">
        <f t="shared" si="2"/>
        <v>301</v>
      </c>
      <c r="L11" s="10">
        <f t="shared" si="2"/>
        <v>128</v>
      </c>
      <c r="M11" s="10">
        <f t="shared" si="2"/>
        <v>37</v>
      </c>
      <c r="N11" s="10">
        <f t="shared" si="2"/>
        <v>5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 t="shared" si="2"/>
        <v>13</v>
      </c>
      <c r="S11" s="10">
        <f t="shared" si="2"/>
        <v>0</v>
      </c>
      <c r="T11" s="10">
        <f t="shared" si="2"/>
        <v>0</v>
      </c>
    </row>
    <row r="12" spans="1:20" s="93" customFormat="1" ht="13.5" customHeight="1">
      <c r="A12" s="525"/>
      <c r="B12" s="517"/>
      <c r="C12" s="235" t="s">
        <v>721</v>
      </c>
      <c r="D12" s="24">
        <f t="shared" si="1"/>
        <v>800</v>
      </c>
      <c r="E12" s="10">
        <f t="shared" si="1"/>
        <v>800</v>
      </c>
      <c r="F12" s="10">
        <f t="shared" si="1"/>
        <v>0</v>
      </c>
      <c r="G12" s="10">
        <f>SUM(G15,G18,G21,G24)/4</f>
        <v>28.75</v>
      </c>
      <c r="H12" s="10">
        <f aca="true" t="shared" si="3" ref="H12:T12">SUM(H15,H18,H21,H24)</f>
        <v>0</v>
      </c>
      <c r="I12" s="10">
        <f t="shared" si="3"/>
        <v>93</v>
      </c>
      <c r="J12" s="10">
        <f t="shared" si="3"/>
        <v>374</v>
      </c>
      <c r="K12" s="10">
        <f t="shared" si="3"/>
        <v>226</v>
      </c>
      <c r="L12" s="10">
        <f t="shared" si="3"/>
        <v>80</v>
      </c>
      <c r="M12" s="10">
        <f t="shared" si="3"/>
        <v>26</v>
      </c>
      <c r="N12" s="10">
        <f t="shared" si="3"/>
        <v>1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6</v>
      </c>
      <c r="S12" s="10">
        <f t="shared" si="3"/>
        <v>0</v>
      </c>
      <c r="T12" s="10">
        <f t="shared" si="3"/>
        <v>0</v>
      </c>
    </row>
    <row r="13" spans="1:20" s="93" customFormat="1" ht="13.5" customHeight="1">
      <c r="A13" s="525"/>
      <c r="B13" s="491" t="s">
        <v>519</v>
      </c>
      <c r="C13" s="234" t="s">
        <v>719</v>
      </c>
      <c r="D13" s="54">
        <f>SUM(D14:D15)</f>
        <v>1443</v>
      </c>
      <c r="E13" s="55">
        <f>SUM(E14:E15)</f>
        <v>1443</v>
      </c>
      <c r="F13" s="55">
        <f>SUM(F14:F15)</f>
        <v>0</v>
      </c>
      <c r="G13" s="55">
        <f>SUM(G14:G15)/2</f>
        <v>29.5</v>
      </c>
      <c r="H13" s="55">
        <f aca="true" t="shared" si="4" ref="H13:T13">SUM(H14:H15)</f>
        <v>0</v>
      </c>
      <c r="I13" s="55">
        <f t="shared" si="4"/>
        <v>87</v>
      </c>
      <c r="J13" s="55">
        <f t="shared" si="4"/>
        <v>657</v>
      </c>
      <c r="K13" s="55">
        <f t="shared" si="4"/>
        <v>467</v>
      </c>
      <c r="L13" s="55">
        <f t="shared" si="4"/>
        <v>175</v>
      </c>
      <c r="M13" s="55">
        <f t="shared" si="4"/>
        <v>51</v>
      </c>
      <c r="N13" s="55">
        <f t="shared" si="4"/>
        <v>6</v>
      </c>
      <c r="O13" s="55">
        <f t="shared" si="4"/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</row>
    <row r="14" spans="1:20" s="93" customFormat="1" ht="13.5" customHeight="1">
      <c r="A14" s="525"/>
      <c r="B14" s="492"/>
      <c r="C14" s="124" t="s">
        <v>720</v>
      </c>
      <c r="D14" s="24">
        <v>746</v>
      </c>
      <c r="E14" s="10">
        <v>746</v>
      </c>
      <c r="F14" s="10">
        <v>0</v>
      </c>
      <c r="G14" s="10">
        <v>30</v>
      </c>
      <c r="H14" s="10">
        <v>0</v>
      </c>
      <c r="I14" s="10">
        <v>11</v>
      </c>
      <c r="J14" s="10">
        <v>317</v>
      </c>
      <c r="K14" s="10">
        <v>274</v>
      </c>
      <c r="L14" s="10">
        <v>109</v>
      </c>
      <c r="M14" s="10">
        <v>30</v>
      </c>
      <c r="N14" s="10">
        <v>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93" customFormat="1" ht="13.5" customHeight="1">
      <c r="A15" s="525"/>
      <c r="B15" s="493"/>
      <c r="C15" s="235" t="s">
        <v>721</v>
      </c>
      <c r="D15" s="24">
        <v>697</v>
      </c>
      <c r="E15" s="10">
        <v>697</v>
      </c>
      <c r="F15" s="10">
        <v>0</v>
      </c>
      <c r="G15" s="10">
        <v>29</v>
      </c>
      <c r="H15" s="10">
        <v>0</v>
      </c>
      <c r="I15" s="10">
        <v>76</v>
      </c>
      <c r="J15" s="10">
        <v>340</v>
      </c>
      <c r="K15" s="10">
        <v>193</v>
      </c>
      <c r="L15" s="10">
        <v>66</v>
      </c>
      <c r="M15" s="10">
        <v>21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93" customFormat="1" ht="13.5" customHeight="1">
      <c r="A16" s="525"/>
      <c r="B16" s="492" t="s">
        <v>520</v>
      </c>
      <c r="C16" s="234" t="s">
        <v>719</v>
      </c>
      <c r="D16" s="54">
        <f>SUM(D17:D18)</f>
        <v>183</v>
      </c>
      <c r="E16" s="55">
        <f>SUM(E17:E18)</f>
        <v>183</v>
      </c>
      <c r="F16" s="55">
        <f>SUM(F17:F18)</f>
        <v>0</v>
      </c>
      <c r="G16" s="55">
        <v>30</v>
      </c>
      <c r="H16" s="55">
        <f aca="true" t="shared" si="5" ref="H16:T16">SUM(H17:H18)</f>
        <v>0</v>
      </c>
      <c r="I16" s="55">
        <f t="shared" si="5"/>
        <v>21</v>
      </c>
      <c r="J16" s="55">
        <f t="shared" si="5"/>
        <v>64</v>
      </c>
      <c r="K16" s="55">
        <f t="shared" si="5"/>
        <v>55</v>
      </c>
      <c r="L16" s="55">
        <f t="shared" si="5"/>
        <v>32</v>
      </c>
      <c r="M16" s="55">
        <f t="shared" si="5"/>
        <v>11</v>
      </c>
      <c r="N16" s="55">
        <f t="shared" si="5"/>
        <v>0</v>
      </c>
      <c r="O16" s="55">
        <f t="shared" si="5"/>
        <v>0</v>
      </c>
      <c r="P16" s="55">
        <f t="shared" si="5"/>
        <v>0</v>
      </c>
      <c r="Q16" s="55">
        <f t="shared" si="5"/>
        <v>0</v>
      </c>
      <c r="R16" s="55">
        <f t="shared" si="5"/>
        <v>0</v>
      </c>
      <c r="S16" s="55">
        <f t="shared" si="5"/>
        <v>0</v>
      </c>
      <c r="T16" s="55">
        <f t="shared" si="5"/>
        <v>0</v>
      </c>
    </row>
    <row r="17" spans="1:20" s="93" customFormat="1" ht="13.5" customHeight="1">
      <c r="A17" s="522" t="s">
        <v>524</v>
      </c>
      <c r="B17" s="492"/>
      <c r="C17" s="124" t="s">
        <v>720</v>
      </c>
      <c r="D17" s="24">
        <v>86</v>
      </c>
      <c r="E17" s="10">
        <v>86</v>
      </c>
      <c r="F17" s="10">
        <v>0</v>
      </c>
      <c r="G17" s="10">
        <v>31</v>
      </c>
      <c r="H17" s="10">
        <v>0</v>
      </c>
      <c r="I17" s="10">
        <v>4</v>
      </c>
      <c r="J17" s="10">
        <v>34</v>
      </c>
      <c r="K17" s="10">
        <v>24</v>
      </c>
      <c r="L17" s="10">
        <v>18</v>
      </c>
      <c r="M17" s="10">
        <v>6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93" customFormat="1" ht="13.5" customHeight="1">
      <c r="A18" s="522"/>
      <c r="B18" s="492"/>
      <c r="C18" s="235" t="s">
        <v>721</v>
      </c>
      <c r="D18" s="24">
        <v>97</v>
      </c>
      <c r="E18" s="10">
        <v>97</v>
      </c>
      <c r="F18" s="10">
        <v>0</v>
      </c>
      <c r="G18" s="10">
        <v>30</v>
      </c>
      <c r="H18" s="10">
        <v>0</v>
      </c>
      <c r="I18" s="10">
        <v>17</v>
      </c>
      <c r="J18" s="10">
        <v>30</v>
      </c>
      <c r="K18" s="10">
        <v>31</v>
      </c>
      <c r="L18" s="10">
        <v>14</v>
      </c>
      <c r="M18" s="10">
        <v>5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s="93" customFormat="1" ht="13.5" customHeight="1">
      <c r="A19" s="522"/>
      <c r="B19" s="491" t="s">
        <v>521</v>
      </c>
      <c r="C19" s="234" t="s">
        <v>719</v>
      </c>
      <c r="D19" s="54">
        <f>SUM(D20:D21)</f>
        <v>14</v>
      </c>
      <c r="E19" s="55">
        <f>SUM(E20:E21)</f>
        <v>14</v>
      </c>
      <c r="F19" s="55">
        <f>SUM(F20:F21)</f>
        <v>0</v>
      </c>
      <c r="G19" s="55">
        <f>SUM(G20:G21)/2</f>
        <v>28.5</v>
      </c>
      <c r="H19" s="55">
        <f aca="true" t="shared" si="6" ref="H19:T19">SUM(H20:H21)</f>
        <v>0</v>
      </c>
      <c r="I19" s="55">
        <f t="shared" si="6"/>
        <v>0</v>
      </c>
      <c r="J19" s="55">
        <f t="shared" si="6"/>
        <v>9</v>
      </c>
      <c r="K19" s="55">
        <f t="shared" si="6"/>
        <v>4</v>
      </c>
      <c r="L19" s="55">
        <f t="shared" si="6"/>
        <v>1</v>
      </c>
      <c r="M19" s="55">
        <f t="shared" si="6"/>
        <v>0</v>
      </c>
      <c r="N19" s="55">
        <f t="shared" si="6"/>
        <v>0</v>
      </c>
      <c r="O19" s="55">
        <f t="shared" si="6"/>
        <v>0</v>
      </c>
      <c r="P19" s="55">
        <f t="shared" si="6"/>
        <v>0</v>
      </c>
      <c r="Q19" s="55">
        <f t="shared" si="6"/>
        <v>0</v>
      </c>
      <c r="R19" s="55">
        <f t="shared" si="6"/>
        <v>14</v>
      </c>
      <c r="S19" s="55">
        <f t="shared" si="6"/>
        <v>0</v>
      </c>
      <c r="T19" s="55">
        <f t="shared" si="6"/>
        <v>0</v>
      </c>
    </row>
    <row r="20" spans="1:20" s="93" customFormat="1" ht="14.25" customHeight="1">
      <c r="A20" s="522"/>
      <c r="B20" s="492"/>
      <c r="C20" s="124" t="s">
        <v>720</v>
      </c>
      <c r="D20" s="24">
        <v>10</v>
      </c>
      <c r="E20" s="10">
        <v>10</v>
      </c>
      <c r="F20" s="10">
        <v>0</v>
      </c>
      <c r="G20" s="10">
        <v>29</v>
      </c>
      <c r="H20" s="10">
        <v>0</v>
      </c>
      <c r="I20" s="10">
        <v>0</v>
      </c>
      <c r="J20" s="10">
        <v>7</v>
      </c>
      <c r="K20" s="10">
        <v>2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10</v>
      </c>
      <c r="S20" s="10">
        <v>0</v>
      </c>
      <c r="T20" s="10">
        <v>0</v>
      </c>
    </row>
    <row r="21" spans="1:20" s="93" customFormat="1" ht="14.25">
      <c r="A21" s="522"/>
      <c r="B21" s="493"/>
      <c r="C21" s="235" t="s">
        <v>721</v>
      </c>
      <c r="D21" s="24">
        <v>4</v>
      </c>
      <c r="E21" s="10">
        <v>4</v>
      </c>
      <c r="F21" s="10">
        <v>0</v>
      </c>
      <c r="G21" s="10">
        <v>28</v>
      </c>
      <c r="H21" s="10">
        <v>0</v>
      </c>
      <c r="I21" s="10">
        <v>0</v>
      </c>
      <c r="J21" s="10">
        <v>2</v>
      </c>
      <c r="K21" s="10">
        <v>2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4</v>
      </c>
      <c r="S21" s="10">
        <v>0</v>
      </c>
      <c r="T21" s="10">
        <v>0</v>
      </c>
    </row>
    <row r="22" spans="1:20" s="93" customFormat="1" ht="14.25">
      <c r="A22" s="522"/>
      <c r="B22" s="492" t="s">
        <v>522</v>
      </c>
      <c r="C22" s="234" t="s">
        <v>719</v>
      </c>
      <c r="D22" s="54">
        <f>SUM(D23:D24)</f>
        <v>5</v>
      </c>
      <c r="E22" s="55">
        <f>SUM(E23:E24)</f>
        <v>5</v>
      </c>
      <c r="F22" s="55">
        <f>SUM(F23:F24)</f>
        <v>0</v>
      </c>
      <c r="G22" s="55">
        <v>32</v>
      </c>
      <c r="H22" s="55">
        <f aca="true" t="shared" si="7" ref="H22:T22">SUM(H23:H24)</f>
        <v>0</v>
      </c>
      <c r="I22" s="55">
        <f t="shared" si="7"/>
        <v>0</v>
      </c>
      <c r="J22" s="55">
        <f t="shared" si="7"/>
        <v>3</v>
      </c>
      <c r="K22" s="55">
        <f t="shared" si="7"/>
        <v>1</v>
      </c>
      <c r="L22" s="55">
        <f t="shared" si="7"/>
        <v>0</v>
      </c>
      <c r="M22" s="55">
        <f t="shared" si="7"/>
        <v>1</v>
      </c>
      <c r="N22" s="55">
        <f t="shared" si="7"/>
        <v>0</v>
      </c>
      <c r="O22" s="55">
        <f t="shared" si="7"/>
        <v>0</v>
      </c>
      <c r="P22" s="55">
        <f t="shared" si="7"/>
        <v>0</v>
      </c>
      <c r="Q22" s="55">
        <f t="shared" si="7"/>
        <v>0</v>
      </c>
      <c r="R22" s="55">
        <f t="shared" si="7"/>
        <v>5</v>
      </c>
      <c r="S22" s="55">
        <f t="shared" si="7"/>
        <v>0</v>
      </c>
      <c r="T22" s="55">
        <f t="shared" si="7"/>
        <v>0</v>
      </c>
    </row>
    <row r="23" spans="1:20" s="93" customFormat="1" ht="14.25">
      <c r="A23" s="522"/>
      <c r="B23" s="492"/>
      <c r="C23" s="124" t="s">
        <v>720</v>
      </c>
      <c r="D23" s="24">
        <v>3</v>
      </c>
      <c r="E23" s="10">
        <v>3</v>
      </c>
      <c r="F23" s="10">
        <v>0</v>
      </c>
      <c r="G23" s="10">
        <v>34</v>
      </c>
      <c r="H23" s="10">
        <v>0</v>
      </c>
      <c r="I23" s="10">
        <v>0</v>
      </c>
      <c r="J23" s="10">
        <v>1</v>
      </c>
      <c r="K23" s="10">
        <v>1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3</v>
      </c>
      <c r="S23" s="10">
        <v>0</v>
      </c>
      <c r="T23" s="10">
        <v>0</v>
      </c>
    </row>
    <row r="24" spans="1:20" s="93" customFormat="1" ht="14.25">
      <c r="A24" s="522"/>
      <c r="B24" s="492"/>
      <c r="C24" s="235" t="s">
        <v>721</v>
      </c>
      <c r="D24" s="132">
        <v>2</v>
      </c>
      <c r="E24" s="10">
        <v>2</v>
      </c>
      <c r="F24" s="10">
        <v>0</v>
      </c>
      <c r="G24" s="10">
        <v>28</v>
      </c>
      <c r="H24" s="10">
        <v>0</v>
      </c>
      <c r="I24" s="10">
        <v>0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2</v>
      </c>
      <c r="S24" s="10">
        <v>0</v>
      </c>
      <c r="T24" s="31">
        <v>0</v>
      </c>
    </row>
    <row r="25" spans="1:20" s="93" customFormat="1" ht="14.25">
      <c r="A25" s="524" t="s">
        <v>50</v>
      </c>
      <c r="B25" s="536" t="s">
        <v>525</v>
      </c>
      <c r="C25" s="234" t="s">
        <v>719</v>
      </c>
      <c r="D25" s="54">
        <f>SUM(D28,D31,D34,D37)</f>
        <v>234</v>
      </c>
      <c r="E25" s="56">
        <f>SUM(E26:E27)</f>
        <v>234</v>
      </c>
      <c r="F25" s="56">
        <f>SUM(F26:F27)</f>
        <v>0</v>
      </c>
      <c r="G25" s="56">
        <f>SUM(G28,G31,G34,G37)/4</f>
        <v>29.5</v>
      </c>
      <c r="H25" s="56">
        <f aca="true" t="shared" si="8" ref="H25:T25">SUM(H26:H27)</f>
        <v>0</v>
      </c>
      <c r="I25" s="56">
        <f t="shared" si="8"/>
        <v>23</v>
      </c>
      <c r="J25" s="56">
        <f t="shared" si="8"/>
        <v>120</v>
      </c>
      <c r="K25" s="56">
        <f t="shared" si="8"/>
        <v>57</v>
      </c>
      <c r="L25" s="56">
        <f t="shared" si="8"/>
        <v>25</v>
      </c>
      <c r="M25" s="56">
        <f t="shared" si="8"/>
        <v>7</v>
      </c>
      <c r="N25" s="56">
        <f t="shared" si="8"/>
        <v>2</v>
      </c>
      <c r="O25" s="56">
        <f t="shared" si="8"/>
        <v>0</v>
      </c>
      <c r="P25" s="56">
        <f t="shared" si="8"/>
        <v>0</v>
      </c>
      <c r="Q25" s="56">
        <f t="shared" si="8"/>
        <v>0</v>
      </c>
      <c r="R25" s="56">
        <f t="shared" si="8"/>
        <v>9</v>
      </c>
      <c r="S25" s="56">
        <f t="shared" si="8"/>
        <v>1</v>
      </c>
      <c r="T25" s="55">
        <f t="shared" si="8"/>
        <v>0</v>
      </c>
    </row>
    <row r="26" spans="1:20" s="93" customFormat="1" ht="14.25">
      <c r="A26" s="525"/>
      <c r="B26" s="492"/>
      <c r="C26" s="124" t="s">
        <v>720</v>
      </c>
      <c r="D26" s="24">
        <f>SUM(D29,D32,D35,D38)</f>
        <v>50</v>
      </c>
      <c r="E26" s="10">
        <f>SUM(E29,E32,E35,E38)</f>
        <v>50</v>
      </c>
      <c r="F26" s="10">
        <f>SUM(F29,F32,F35,F38)</f>
        <v>0</v>
      </c>
      <c r="G26" s="10">
        <v>30</v>
      </c>
      <c r="H26" s="10">
        <v>0</v>
      </c>
      <c r="I26" s="10">
        <v>2</v>
      </c>
      <c r="J26" s="10">
        <v>24</v>
      </c>
      <c r="K26" s="10">
        <v>14</v>
      </c>
      <c r="L26" s="10">
        <v>7</v>
      </c>
      <c r="M26" s="10">
        <v>2</v>
      </c>
      <c r="N26" s="10">
        <v>1</v>
      </c>
      <c r="O26" s="10">
        <v>0</v>
      </c>
      <c r="P26" s="10">
        <v>0</v>
      </c>
      <c r="Q26" s="10">
        <v>0</v>
      </c>
      <c r="R26" s="10">
        <v>3</v>
      </c>
      <c r="S26" s="10">
        <v>0</v>
      </c>
      <c r="T26" s="10">
        <v>0</v>
      </c>
    </row>
    <row r="27" spans="1:20" s="93" customFormat="1" ht="14.25">
      <c r="A27" s="525"/>
      <c r="B27" s="493"/>
      <c r="C27" s="235" t="s">
        <v>721</v>
      </c>
      <c r="D27" s="24">
        <f>SUM(D30,D33,D36,D39)</f>
        <v>184</v>
      </c>
      <c r="E27" s="10">
        <f>SUM(E30,E33,E36,E39)</f>
        <v>184</v>
      </c>
      <c r="F27" s="10">
        <v>0</v>
      </c>
      <c r="G27" s="10">
        <f>SUM(G30,G33,G36,G39)/4</f>
        <v>28.75</v>
      </c>
      <c r="H27" s="10">
        <v>0</v>
      </c>
      <c r="I27" s="10">
        <v>21</v>
      </c>
      <c r="J27" s="10">
        <v>96</v>
      </c>
      <c r="K27" s="10">
        <v>43</v>
      </c>
      <c r="L27" s="10">
        <v>18</v>
      </c>
      <c r="M27" s="10">
        <v>5</v>
      </c>
      <c r="N27" s="10">
        <v>1</v>
      </c>
      <c r="O27" s="10">
        <v>0</v>
      </c>
      <c r="P27" s="10">
        <v>0</v>
      </c>
      <c r="Q27" s="10">
        <v>0</v>
      </c>
      <c r="R27" s="10">
        <v>6</v>
      </c>
      <c r="S27" s="10">
        <v>1</v>
      </c>
      <c r="T27" s="10">
        <v>0</v>
      </c>
    </row>
    <row r="28" spans="1:20" s="93" customFormat="1" ht="14.25">
      <c r="A28" s="525"/>
      <c r="B28" s="491" t="s">
        <v>519</v>
      </c>
      <c r="C28" s="234" t="s">
        <v>719</v>
      </c>
      <c r="D28" s="54">
        <f>SUM(D29:D30)</f>
        <v>27</v>
      </c>
      <c r="E28" s="55">
        <f>SUM(E29:E30)</f>
        <v>27</v>
      </c>
      <c r="F28" s="55">
        <f>SUM(F29:F30)</f>
        <v>0</v>
      </c>
      <c r="G28" s="55">
        <f>SUM(G29:G30)/2</f>
        <v>29</v>
      </c>
      <c r="H28" s="55">
        <f aca="true" t="shared" si="9" ref="H28:T28">SUM(H29:H30)</f>
        <v>0</v>
      </c>
      <c r="I28" s="55">
        <f t="shared" si="9"/>
        <v>4</v>
      </c>
      <c r="J28" s="55">
        <f t="shared" si="9"/>
        <v>16</v>
      </c>
      <c r="K28" s="55">
        <f t="shared" si="9"/>
        <v>5</v>
      </c>
      <c r="L28" s="55">
        <f t="shared" si="9"/>
        <v>0</v>
      </c>
      <c r="M28" s="55">
        <f t="shared" si="9"/>
        <v>2</v>
      </c>
      <c r="N28" s="55">
        <f t="shared" si="9"/>
        <v>0</v>
      </c>
      <c r="O28" s="55">
        <f t="shared" si="9"/>
        <v>0</v>
      </c>
      <c r="P28" s="55">
        <f t="shared" si="9"/>
        <v>0</v>
      </c>
      <c r="Q28" s="55">
        <f t="shared" si="9"/>
        <v>0</v>
      </c>
      <c r="R28" s="55">
        <f t="shared" si="9"/>
        <v>0</v>
      </c>
      <c r="S28" s="55">
        <f t="shared" si="9"/>
        <v>0</v>
      </c>
      <c r="T28" s="55">
        <f t="shared" si="9"/>
        <v>0</v>
      </c>
    </row>
    <row r="29" spans="1:20" s="93" customFormat="1" ht="14.25">
      <c r="A29" s="525"/>
      <c r="B29" s="492"/>
      <c r="C29" s="124" t="s">
        <v>720</v>
      </c>
      <c r="D29" s="24">
        <v>10</v>
      </c>
      <c r="E29" s="10">
        <v>10</v>
      </c>
      <c r="F29" s="10">
        <v>0</v>
      </c>
      <c r="G29" s="10">
        <v>30</v>
      </c>
      <c r="H29" s="10">
        <v>0</v>
      </c>
      <c r="I29" s="10">
        <v>1</v>
      </c>
      <c r="J29" s="10">
        <v>6</v>
      </c>
      <c r="K29" s="10">
        <v>2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s="93" customFormat="1" ht="14.25">
      <c r="A30" s="525"/>
      <c r="B30" s="493"/>
      <c r="C30" s="235" t="s">
        <v>721</v>
      </c>
      <c r="D30" s="24">
        <v>17</v>
      </c>
      <c r="E30" s="10">
        <v>17</v>
      </c>
      <c r="F30" s="10">
        <v>0</v>
      </c>
      <c r="G30" s="10">
        <v>28</v>
      </c>
      <c r="H30" s="10">
        <v>0</v>
      </c>
      <c r="I30" s="10">
        <v>3</v>
      </c>
      <c r="J30" s="10">
        <v>10</v>
      </c>
      <c r="K30" s="10">
        <v>3</v>
      </c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s="93" customFormat="1" ht="15.75" customHeight="1">
      <c r="A31" s="525"/>
      <c r="B31" s="491" t="s">
        <v>520</v>
      </c>
      <c r="C31" s="234" t="s">
        <v>719</v>
      </c>
      <c r="D31" s="54">
        <f>SUM(D32:D33)</f>
        <v>197</v>
      </c>
      <c r="E31" s="55">
        <f>SUM(E32:E33)</f>
        <v>197</v>
      </c>
      <c r="F31" s="55">
        <f>SUM(F32:F33)</f>
        <v>0</v>
      </c>
      <c r="G31" s="55">
        <v>29</v>
      </c>
      <c r="H31" s="55">
        <f aca="true" t="shared" si="10" ref="H31:T31">SUM(H32:H33)</f>
        <v>0</v>
      </c>
      <c r="I31" s="55">
        <f t="shared" si="10"/>
        <v>18</v>
      </c>
      <c r="J31" s="55">
        <f t="shared" si="10"/>
        <v>98</v>
      </c>
      <c r="K31" s="55">
        <f t="shared" si="10"/>
        <v>51</v>
      </c>
      <c r="L31" s="55">
        <f t="shared" si="10"/>
        <v>24</v>
      </c>
      <c r="M31" s="55">
        <f t="shared" si="10"/>
        <v>5</v>
      </c>
      <c r="N31" s="55">
        <f t="shared" si="10"/>
        <v>1</v>
      </c>
      <c r="O31" s="55">
        <f t="shared" si="10"/>
        <v>0</v>
      </c>
      <c r="P31" s="55">
        <f t="shared" si="10"/>
        <v>0</v>
      </c>
      <c r="Q31" s="55">
        <f t="shared" si="10"/>
        <v>0</v>
      </c>
      <c r="R31" s="55">
        <f t="shared" si="10"/>
        <v>0</v>
      </c>
      <c r="S31" s="55">
        <f t="shared" si="10"/>
        <v>0</v>
      </c>
      <c r="T31" s="55">
        <f t="shared" si="10"/>
        <v>0</v>
      </c>
    </row>
    <row r="32" spans="1:20" s="93" customFormat="1" ht="15.75" customHeight="1">
      <c r="A32" s="522" t="s">
        <v>526</v>
      </c>
      <c r="B32" s="492"/>
      <c r="C32" s="124" t="s">
        <v>720</v>
      </c>
      <c r="D32" s="24">
        <v>37</v>
      </c>
      <c r="E32" s="10">
        <v>37</v>
      </c>
      <c r="F32" s="10">
        <v>0</v>
      </c>
      <c r="G32" s="10">
        <v>30</v>
      </c>
      <c r="H32" s="10">
        <v>0</v>
      </c>
      <c r="I32" s="10">
        <v>1</v>
      </c>
      <c r="J32" s="10">
        <v>16</v>
      </c>
      <c r="K32" s="10">
        <v>12</v>
      </c>
      <c r="L32" s="10">
        <v>7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s="93" customFormat="1" ht="15.75" customHeight="1">
      <c r="A33" s="522"/>
      <c r="B33" s="493"/>
      <c r="C33" s="235" t="s">
        <v>721</v>
      </c>
      <c r="D33" s="24">
        <v>160</v>
      </c>
      <c r="E33" s="10">
        <v>160</v>
      </c>
      <c r="F33" s="10">
        <v>0</v>
      </c>
      <c r="G33" s="10">
        <v>29</v>
      </c>
      <c r="H33" s="10">
        <v>0</v>
      </c>
      <c r="I33" s="10">
        <v>17</v>
      </c>
      <c r="J33" s="10">
        <v>82</v>
      </c>
      <c r="K33" s="10">
        <v>39</v>
      </c>
      <c r="L33" s="10">
        <v>17</v>
      </c>
      <c r="M33" s="10">
        <v>4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s="85" customFormat="1" ht="15.75" customHeight="1">
      <c r="A34" s="522"/>
      <c r="B34" s="491" t="s">
        <v>521</v>
      </c>
      <c r="C34" s="234" t="s">
        <v>719</v>
      </c>
      <c r="D34" s="54">
        <f>SUM(D35:D36)</f>
        <v>5</v>
      </c>
      <c r="E34" s="55">
        <f>SUM(E35:E36)</f>
        <v>5</v>
      </c>
      <c r="F34" s="55">
        <f>SUM(F35:F36)</f>
        <v>0</v>
      </c>
      <c r="G34" s="55">
        <v>32</v>
      </c>
      <c r="H34" s="55">
        <f aca="true" t="shared" si="11" ref="H34:T34">SUM(H35:H36)</f>
        <v>0</v>
      </c>
      <c r="I34" s="55">
        <f t="shared" si="11"/>
        <v>1</v>
      </c>
      <c r="J34" s="55">
        <f t="shared" si="11"/>
        <v>2</v>
      </c>
      <c r="K34" s="55">
        <f t="shared" si="11"/>
        <v>0</v>
      </c>
      <c r="L34" s="55">
        <f t="shared" si="11"/>
        <v>1</v>
      </c>
      <c r="M34" s="55">
        <f t="shared" si="11"/>
        <v>0</v>
      </c>
      <c r="N34" s="55">
        <f t="shared" si="11"/>
        <v>1</v>
      </c>
      <c r="O34" s="55">
        <f t="shared" si="11"/>
        <v>0</v>
      </c>
      <c r="P34" s="55">
        <f t="shared" si="11"/>
        <v>0</v>
      </c>
      <c r="Q34" s="55">
        <f t="shared" si="11"/>
        <v>0</v>
      </c>
      <c r="R34" s="55">
        <f t="shared" si="11"/>
        <v>4</v>
      </c>
      <c r="S34" s="55">
        <f t="shared" si="11"/>
        <v>1</v>
      </c>
      <c r="T34" s="55">
        <f t="shared" si="11"/>
        <v>0</v>
      </c>
    </row>
    <row r="35" spans="1:20" s="85" customFormat="1" ht="15.75" customHeight="1">
      <c r="A35" s="522"/>
      <c r="B35" s="492"/>
      <c r="C35" s="124" t="s">
        <v>720</v>
      </c>
      <c r="D35" s="64">
        <v>1</v>
      </c>
      <c r="E35" s="49">
        <v>1</v>
      </c>
      <c r="F35" s="59">
        <v>0</v>
      </c>
      <c r="G35" s="58">
        <v>46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1</v>
      </c>
      <c r="O35" s="58">
        <v>0</v>
      </c>
      <c r="P35" s="59">
        <v>0</v>
      </c>
      <c r="Q35" s="59">
        <v>0</v>
      </c>
      <c r="R35" s="59">
        <v>1</v>
      </c>
      <c r="S35" s="59">
        <v>0</v>
      </c>
      <c r="T35" s="237">
        <v>0</v>
      </c>
    </row>
    <row r="36" spans="1:20" s="85" customFormat="1" ht="15.75" customHeight="1">
      <c r="A36" s="522"/>
      <c r="B36" s="493"/>
      <c r="C36" s="235" t="s">
        <v>721</v>
      </c>
      <c r="D36" s="64">
        <v>4</v>
      </c>
      <c r="E36" s="49">
        <v>4</v>
      </c>
      <c r="F36" s="59">
        <v>0</v>
      </c>
      <c r="G36" s="58">
        <v>29</v>
      </c>
      <c r="H36" s="58">
        <v>0</v>
      </c>
      <c r="I36" s="58">
        <v>1</v>
      </c>
      <c r="J36" s="58">
        <v>2</v>
      </c>
      <c r="K36" s="58">
        <v>0</v>
      </c>
      <c r="L36" s="58">
        <v>1</v>
      </c>
      <c r="M36" s="58">
        <v>0</v>
      </c>
      <c r="N36" s="58">
        <v>0</v>
      </c>
      <c r="O36" s="58">
        <v>0</v>
      </c>
      <c r="P36" s="59">
        <v>0</v>
      </c>
      <c r="Q36" s="59">
        <v>0</v>
      </c>
      <c r="R36" s="59">
        <v>3</v>
      </c>
      <c r="S36" s="59">
        <v>1</v>
      </c>
      <c r="T36" s="237">
        <v>0</v>
      </c>
    </row>
    <row r="37" spans="1:20" s="85" customFormat="1" ht="15.75" customHeight="1">
      <c r="A37" s="522"/>
      <c r="B37" s="492" t="s">
        <v>522</v>
      </c>
      <c r="C37" s="234" t="s">
        <v>719</v>
      </c>
      <c r="D37" s="54">
        <f>SUM(D38:D39)</f>
        <v>5</v>
      </c>
      <c r="E37" s="55">
        <f>SUM(E38:E39)</f>
        <v>5</v>
      </c>
      <c r="F37" s="55">
        <f>SUM(F38:F39)</f>
        <v>0</v>
      </c>
      <c r="G37" s="55">
        <f>SUM(G38:G39)/2</f>
        <v>28</v>
      </c>
      <c r="H37" s="55">
        <f aca="true" t="shared" si="12" ref="H37:T37">SUM(H38:H39)</f>
        <v>0</v>
      </c>
      <c r="I37" s="55">
        <f t="shared" si="12"/>
        <v>0</v>
      </c>
      <c r="J37" s="55">
        <f t="shared" si="12"/>
        <v>4</v>
      </c>
      <c r="K37" s="55">
        <f t="shared" si="12"/>
        <v>1</v>
      </c>
      <c r="L37" s="55">
        <f t="shared" si="12"/>
        <v>0</v>
      </c>
      <c r="M37" s="55">
        <f t="shared" si="12"/>
        <v>0</v>
      </c>
      <c r="N37" s="55">
        <f t="shared" si="12"/>
        <v>0</v>
      </c>
      <c r="O37" s="55">
        <f t="shared" si="12"/>
        <v>0</v>
      </c>
      <c r="P37" s="55">
        <f t="shared" si="12"/>
        <v>0</v>
      </c>
      <c r="Q37" s="55">
        <f t="shared" si="12"/>
        <v>0</v>
      </c>
      <c r="R37" s="55">
        <f t="shared" si="12"/>
        <v>5</v>
      </c>
      <c r="S37" s="55">
        <f t="shared" si="12"/>
        <v>0</v>
      </c>
      <c r="T37" s="55">
        <f t="shared" si="12"/>
        <v>0</v>
      </c>
    </row>
    <row r="38" spans="1:20" s="85" customFormat="1" ht="15.75" customHeight="1">
      <c r="A38" s="522"/>
      <c r="B38" s="492"/>
      <c r="C38" s="124" t="s">
        <v>720</v>
      </c>
      <c r="D38" s="24">
        <v>2</v>
      </c>
      <c r="E38" s="10">
        <v>2</v>
      </c>
      <c r="F38" s="10">
        <v>0</v>
      </c>
      <c r="G38" s="10">
        <v>27</v>
      </c>
      <c r="H38" s="10">
        <v>0</v>
      </c>
      <c r="I38" s="10">
        <v>0</v>
      </c>
      <c r="J38" s="10">
        <v>2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2</v>
      </c>
      <c r="S38" s="10">
        <v>0</v>
      </c>
      <c r="T38" s="237">
        <v>0</v>
      </c>
    </row>
    <row r="39" spans="1:20" s="85" customFormat="1" ht="15.75" customHeight="1">
      <c r="A39" s="522"/>
      <c r="B39" s="492"/>
      <c r="C39" s="235" t="s">
        <v>721</v>
      </c>
      <c r="D39" s="24">
        <v>3</v>
      </c>
      <c r="E39" s="10">
        <v>3</v>
      </c>
      <c r="F39" s="10">
        <v>0</v>
      </c>
      <c r="G39" s="10">
        <v>29</v>
      </c>
      <c r="H39" s="10">
        <v>0</v>
      </c>
      <c r="I39" s="10">
        <v>0</v>
      </c>
      <c r="J39" s="10">
        <v>2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3</v>
      </c>
      <c r="S39" s="10">
        <v>0</v>
      </c>
      <c r="T39" s="237">
        <v>0</v>
      </c>
    </row>
    <row r="40" spans="1:45" s="93" customFormat="1" ht="15.75" customHeight="1">
      <c r="A40" s="524" t="s">
        <v>527</v>
      </c>
      <c r="B40" s="536" t="s">
        <v>518</v>
      </c>
      <c r="C40" s="234" t="s">
        <v>719</v>
      </c>
      <c r="D40" s="140">
        <f>SUM(D41:D42)</f>
        <v>15636</v>
      </c>
      <c r="E40" s="56">
        <f>SUM(E41:E42)</f>
        <v>15635</v>
      </c>
      <c r="F40" s="56">
        <f>SUM(F41:F42)</f>
        <v>1</v>
      </c>
      <c r="G40" s="56">
        <f>(G43+SUM('表32(續1)'!G7,'表32(續1)'!G10,'表32(續1)'!G13,'表32(續1)'!G16,'表32(續1)'!G19,'表32(續1)'!G22,'表32(續1)'!G25))/8</f>
        <v>30.1875</v>
      </c>
      <c r="H40" s="56">
        <f aca="true" t="shared" si="13" ref="H40:T40">SUM(H41:H42)</f>
        <v>0</v>
      </c>
      <c r="I40" s="56">
        <f t="shared" si="13"/>
        <v>1122</v>
      </c>
      <c r="J40" s="56">
        <f t="shared" si="13"/>
        <v>6865</v>
      </c>
      <c r="K40" s="56">
        <f t="shared" si="13"/>
        <v>4523</v>
      </c>
      <c r="L40" s="56">
        <f t="shared" si="13"/>
        <v>2036</v>
      </c>
      <c r="M40" s="56">
        <f t="shared" si="13"/>
        <v>772</v>
      </c>
      <c r="N40" s="56">
        <f t="shared" si="13"/>
        <v>256</v>
      </c>
      <c r="O40" s="56">
        <f t="shared" si="13"/>
        <v>50</v>
      </c>
      <c r="P40" s="56">
        <f t="shared" si="13"/>
        <v>12</v>
      </c>
      <c r="Q40" s="56">
        <f t="shared" si="13"/>
        <v>1638</v>
      </c>
      <c r="R40" s="56">
        <f t="shared" si="13"/>
        <v>13416</v>
      </c>
      <c r="S40" s="56">
        <f t="shared" si="13"/>
        <v>575</v>
      </c>
      <c r="T40" s="350">
        <f t="shared" si="13"/>
        <v>7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s="93" customFormat="1" ht="15.75" customHeight="1">
      <c r="A41" s="525"/>
      <c r="B41" s="492"/>
      <c r="C41" s="124" t="s">
        <v>720</v>
      </c>
      <c r="D41" s="24">
        <v>7569</v>
      </c>
      <c r="E41" s="10">
        <v>7568</v>
      </c>
      <c r="F41" s="10">
        <v>1</v>
      </c>
      <c r="G41" s="10">
        <f>(G44+SUM('表32(續1)'!G8,'表32(續1)'!G11,'表32(續1)'!G14,'表32(續1)'!G17,'表32(續1)'!G20,'表32(續1)'!G23,'表32(續1)'!G26))/8</f>
        <v>31.25</v>
      </c>
      <c r="H41" s="10">
        <v>0</v>
      </c>
      <c r="I41" s="10">
        <v>175</v>
      </c>
      <c r="J41" s="10">
        <v>3016</v>
      </c>
      <c r="K41" s="10">
        <v>2557</v>
      </c>
      <c r="L41" s="10">
        <v>1147</v>
      </c>
      <c r="M41" s="10">
        <v>458</v>
      </c>
      <c r="N41" s="10">
        <v>167</v>
      </c>
      <c r="O41" s="10">
        <v>38</v>
      </c>
      <c r="P41" s="10">
        <v>11</v>
      </c>
      <c r="Q41" s="10">
        <v>1028</v>
      </c>
      <c r="R41" s="10">
        <v>6281</v>
      </c>
      <c r="S41" s="10">
        <v>255</v>
      </c>
      <c r="T41" s="237">
        <v>5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s="93" customFormat="1" ht="15.75" customHeight="1">
      <c r="A42" s="525"/>
      <c r="B42" s="493"/>
      <c r="C42" s="235" t="s">
        <v>721</v>
      </c>
      <c r="D42" s="24">
        <v>8067</v>
      </c>
      <c r="E42" s="10">
        <v>8067</v>
      </c>
      <c r="F42" s="10">
        <v>0</v>
      </c>
      <c r="G42" s="10">
        <f>(G45+SUM('表32(續1)'!G9,'表32(續1)'!G12,'表32(續1)'!G15,'表32(續1)'!G18,'表32(續1)'!G21,'表32(續1)'!G24,'表32(續1)'!G27))/8</f>
        <v>29.25</v>
      </c>
      <c r="H42" s="10">
        <v>0</v>
      </c>
      <c r="I42" s="10">
        <v>947</v>
      </c>
      <c r="J42" s="10">
        <v>3849</v>
      </c>
      <c r="K42" s="10">
        <v>1966</v>
      </c>
      <c r="L42" s="10">
        <v>889</v>
      </c>
      <c r="M42" s="10">
        <v>314</v>
      </c>
      <c r="N42" s="10">
        <v>89</v>
      </c>
      <c r="O42" s="10">
        <v>12</v>
      </c>
      <c r="P42" s="10">
        <v>1</v>
      </c>
      <c r="Q42" s="10">
        <v>610</v>
      </c>
      <c r="R42" s="10">
        <v>7135</v>
      </c>
      <c r="S42" s="10">
        <v>320</v>
      </c>
      <c r="T42" s="237">
        <v>2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s="93" customFormat="1" ht="15.75" customHeight="1">
      <c r="A43" s="522" t="s">
        <v>528</v>
      </c>
      <c r="B43" s="491" t="s">
        <v>521</v>
      </c>
      <c r="C43" s="234" t="s">
        <v>719</v>
      </c>
      <c r="D43" s="54">
        <f>SUM(D44:D45)</f>
        <v>2548</v>
      </c>
      <c r="E43" s="55">
        <f>SUM(E44:E45)</f>
        <v>2548</v>
      </c>
      <c r="F43" s="55">
        <f>SUM(F44:F45)</f>
        <v>0</v>
      </c>
      <c r="G43" s="55">
        <v>30</v>
      </c>
      <c r="H43" s="55">
        <f aca="true" t="shared" si="14" ref="H43:S43">SUM(H44:H45)</f>
        <v>0</v>
      </c>
      <c r="I43" s="55">
        <f t="shared" si="14"/>
        <v>129</v>
      </c>
      <c r="J43" s="55">
        <f t="shared" si="14"/>
        <v>1119</v>
      </c>
      <c r="K43" s="55">
        <f t="shared" si="14"/>
        <v>768</v>
      </c>
      <c r="L43" s="55">
        <f t="shared" si="14"/>
        <v>368</v>
      </c>
      <c r="M43" s="55">
        <f t="shared" si="14"/>
        <v>121</v>
      </c>
      <c r="N43" s="55">
        <f t="shared" si="14"/>
        <v>35</v>
      </c>
      <c r="O43" s="55">
        <f t="shared" si="14"/>
        <v>7</v>
      </c>
      <c r="P43" s="55">
        <f t="shared" si="14"/>
        <v>1</v>
      </c>
      <c r="Q43" s="55">
        <f t="shared" si="14"/>
        <v>8</v>
      </c>
      <c r="R43" s="55">
        <f t="shared" si="14"/>
        <v>2385</v>
      </c>
      <c r="S43" s="55">
        <f t="shared" si="14"/>
        <v>151</v>
      </c>
      <c r="T43" s="351">
        <v>4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s="93" customFormat="1" ht="15.75" customHeight="1">
      <c r="A44" s="523"/>
      <c r="B44" s="492"/>
      <c r="C44" s="143" t="s">
        <v>720</v>
      </c>
      <c r="D44" s="24">
        <v>1189</v>
      </c>
      <c r="E44" s="10">
        <v>1189</v>
      </c>
      <c r="F44" s="10">
        <v>0</v>
      </c>
      <c r="G44" s="10">
        <v>31</v>
      </c>
      <c r="H44" s="10">
        <v>0</v>
      </c>
      <c r="I44" s="10">
        <v>22</v>
      </c>
      <c r="J44" s="10">
        <v>512</v>
      </c>
      <c r="K44" s="10">
        <v>390</v>
      </c>
      <c r="L44" s="10">
        <v>173</v>
      </c>
      <c r="M44" s="10">
        <v>66</v>
      </c>
      <c r="N44" s="10">
        <v>18</v>
      </c>
      <c r="O44" s="10">
        <v>7</v>
      </c>
      <c r="P44" s="10">
        <v>1</v>
      </c>
      <c r="Q44" s="10">
        <v>5</v>
      </c>
      <c r="R44" s="10">
        <v>1129</v>
      </c>
      <c r="S44" s="10">
        <v>52</v>
      </c>
      <c r="T44" s="237">
        <v>3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s="93" customFormat="1" ht="15.75" customHeight="1">
      <c r="A45" s="522"/>
      <c r="B45" s="493"/>
      <c r="C45" s="143" t="s">
        <v>721</v>
      </c>
      <c r="D45" s="24">
        <v>1359</v>
      </c>
      <c r="E45" s="10">
        <v>1359</v>
      </c>
      <c r="F45" s="10">
        <v>0</v>
      </c>
      <c r="G45" s="10">
        <v>30</v>
      </c>
      <c r="H45" s="10">
        <v>0</v>
      </c>
      <c r="I45" s="10">
        <v>107</v>
      </c>
      <c r="J45" s="10">
        <v>607</v>
      </c>
      <c r="K45" s="10">
        <v>378</v>
      </c>
      <c r="L45" s="10">
        <v>195</v>
      </c>
      <c r="M45" s="10">
        <v>55</v>
      </c>
      <c r="N45" s="10">
        <v>17</v>
      </c>
      <c r="O45" s="10">
        <v>0</v>
      </c>
      <c r="P45" s="10">
        <v>0</v>
      </c>
      <c r="Q45" s="10">
        <v>3</v>
      </c>
      <c r="R45" s="10">
        <v>1256</v>
      </c>
      <c r="S45" s="10">
        <v>99</v>
      </c>
      <c r="T45" s="237">
        <v>1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20" ht="16.5">
      <c r="A46" s="529" t="s">
        <v>15</v>
      </c>
      <c r="B46" s="530"/>
      <c r="C46" s="530"/>
      <c r="D46" s="530"/>
      <c r="E46" s="530"/>
      <c r="F46" s="530"/>
      <c r="G46" s="530"/>
      <c r="H46" s="530"/>
      <c r="I46" s="530"/>
      <c r="J46" s="530"/>
      <c r="K46" s="530"/>
      <c r="L46" s="134"/>
      <c r="M46" s="134"/>
      <c r="N46" s="134"/>
      <c r="O46" s="134"/>
      <c r="P46" s="134"/>
      <c r="Q46" s="134"/>
      <c r="R46" s="134"/>
      <c r="S46" s="134"/>
      <c r="T46" s="237"/>
    </row>
    <row r="47" spans="1:20" ht="16.5" customHeight="1">
      <c r="A47" s="457" t="s">
        <v>760</v>
      </c>
      <c r="B47" s="537"/>
      <c r="C47" s="537"/>
      <c r="D47" s="537"/>
      <c r="E47" s="537"/>
      <c r="F47" s="537"/>
      <c r="G47" s="537"/>
      <c r="H47" s="537"/>
      <c r="I47" s="537"/>
      <c r="J47" s="537"/>
      <c r="K47" s="60"/>
      <c r="L47" s="60"/>
      <c r="M47" s="60"/>
      <c r="N47" s="60"/>
      <c r="O47" s="60"/>
      <c r="P47" s="60"/>
      <c r="Q47" s="60"/>
      <c r="R47" s="60"/>
      <c r="S47" s="60"/>
      <c r="T47" s="237"/>
    </row>
    <row r="49" spans="1:20" ht="15.75">
      <c r="A49" s="63"/>
      <c r="B49" s="63"/>
      <c r="C49" s="63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2" spans="1:20" ht="15.75">
      <c r="A52" s="535" t="str">
        <f>"- "&amp;Sheet1!B33&amp;" -"</f>
        <v>- 194 -</v>
      </c>
      <c r="B52" s="535"/>
      <c r="C52" s="535"/>
      <c r="D52" s="535"/>
      <c r="E52" s="535"/>
      <c r="F52" s="535"/>
      <c r="G52" s="535"/>
      <c r="H52" s="535"/>
      <c r="I52" s="535"/>
      <c r="J52" s="535"/>
      <c r="K52" s="535" t="str">
        <f>"- "&amp;Sheet1!C33&amp;" -"</f>
        <v>- 195 -</v>
      </c>
      <c r="L52" s="535"/>
      <c r="M52" s="535"/>
      <c r="N52" s="535"/>
      <c r="O52" s="535"/>
      <c r="P52" s="535"/>
      <c r="Q52" s="535"/>
      <c r="R52" s="535"/>
      <c r="S52" s="535"/>
      <c r="T52" s="535"/>
    </row>
  </sheetData>
  <sheetProtection/>
  <mergeCells count="35">
    <mergeCell ref="A52:J52"/>
    <mergeCell ref="B28:B30"/>
    <mergeCell ref="B25:B27"/>
    <mergeCell ref="K52:T52"/>
    <mergeCell ref="A47:J47"/>
    <mergeCell ref="B43:B45"/>
    <mergeCell ref="B40:B42"/>
    <mergeCell ref="K5:P5"/>
    <mergeCell ref="A46:K46"/>
    <mergeCell ref="F5:F6"/>
    <mergeCell ref="B16:B18"/>
    <mergeCell ref="A7:B9"/>
    <mergeCell ref="B37:B39"/>
    <mergeCell ref="B31:B33"/>
    <mergeCell ref="B10:B12"/>
    <mergeCell ref="A10:A16"/>
    <mergeCell ref="B13:B15"/>
    <mergeCell ref="K1:T1"/>
    <mergeCell ref="A1:J1"/>
    <mergeCell ref="A5:C6"/>
    <mergeCell ref="D5:D6"/>
    <mergeCell ref="E5:E6"/>
    <mergeCell ref="H5:J5"/>
    <mergeCell ref="L3:S3"/>
    <mergeCell ref="Q5:T5"/>
    <mergeCell ref="C3:I3"/>
    <mergeCell ref="G5:G6"/>
    <mergeCell ref="B22:B24"/>
    <mergeCell ref="B19:B21"/>
    <mergeCell ref="B34:B36"/>
    <mergeCell ref="A43:A45"/>
    <mergeCell ref="A17:A24"/>
    <mergeCell ref="A25:A31"/>
    <mergeCell ref="A32:A39"/>
    <mergeCell ref="A40:A42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Layout" zoomScaleSheetLayoutView="85" workbookViewId="0" topLeftCell="A36">
      <selection activeCell="A60" sqref="A60:L60"/>
    </sheetView>
  </sheetViews>
  <sheetFormatPr defaultColWidth="9.00390625" defaultRowHeight="16.5"/>
  <cols>
    <col min="1" max="1" width="2.125" style="38" customWidth="1"/>
    <col min="2" max="3" width="3.50390625" style="38" customWidth="1"/>
    <col min="4" max="4" width="4.875" style="38" customWidth="1"/>
    <col min="5" max="5" width="10.375" style="37" customWidth="1"/>
    <col min="6" max="6" width="8.25390625" style="38" customWidth="1"/>
    <col min="7" max="7" width="9.75390625" style="73" customWidth="1"/>
    <col min="8" max="8" width="8.375" style="73" customWidth="1"/>
    <col min="9" max="9" width="9.125" style="73" customWidth="1"/>
    <col min="10" max="10" width="11.00390625" style="72" customWidth="1"/>
    <col min="11" max="11" width="10.50390625" style="72" customWidth="1"/>
    <col min="12" max="12" width="10.125" style="71" customWidth="1"/>
    <col min="13" max="16384" width="9.00390625" style="37" customWidth="1"/>
  </cols>
  <sheetData>
    <row r="1" spans="1:12" ht="19.5">
      <c r="A1" s="355" t="s">
        <v>1003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2" customHeight="1">
      <c r="A2" s="382" t="s">
        <v>192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2.25" customHeight="1">
      <c r="A3" s="121"/>
      <c r="B3" s="121"/>
      <c r="C3" s="109"/>
      <c r="D3" s="109"/>
      <c r="E3" s="109"/>
      <c r="F3" s="109"/>
      <c r="G3" s="148"/>
      <c r="H3" s="148"/>
      <c r="I3" s="148"/>
      <c r="J3" s="154"/>
      <c r="K3" s="154"/>
      <c r="L3" s="154"/>
    </row>
    <row r="4" spans="1:12" ht="12" customHeight="1">
      <c r="A4" s="384" t="s">
        <v>464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spans="1:12" ht="12" customHeight="1">
      <c r="A5" s="356">
        <v>2011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12" s="39" customFormat="1" ht="6" customHeight="1">
      <c r="A6" s="4"/>
      <c r="B6" s="149"/>
      <c r="C6" s="149"/>
      <c r="D6" s="149"/>
      <c r="E6" s="149"/>
      <c r="F6" s="149"/>
      <c r="G6" s="150"/>
      <c r="H6" s="150"/>
      <c r="I6" s="150"/>
      <c r="J6" s="155"/>
      <c r="K6" s="155"/>
      <c r="L6" s="155"/>
    </row>
    <row r="7" spans="1:12" s="40" customFormat="1" ht="16.5" customHeight="1">
      <c r="A7" s="375" t="s">
        <v>237</v>
      </c>
      <c r="B7" s="375"/>
      <c r="C7" s="375"/>
      <c r="D7" s="375"/>
      <c r="E7" s="375"/>
      <c r="F7" s="376"/>
      <c r="G7" s="363" t="s">
        <v>445</v>
      </c>
      <c r="H7" s="367" t="s">
        <v>444</v>
      </c>
      <c r="I7" s="365" t="s">
        <v>995</v>
      </c>
      <c r="J7" s="379" t="s">
        <v>443</v>
      </c>
      <c r="K7" s="379" t="s">
        <v>442</v>
      </c>
      <c r="L7" s="379" t="s">
        <v>441</v>
      </c>
    </row>
    <row r="8" spans="1:12" s="41" customFormat="1" ht="41.25" customHeight="1">
      <c r="A8" s="377"/>
      <c r="B8" s="377"/>
      <c r="C8" s="377"/>
      <c r="D8" s="377"/>
      <c r="E8" s="377"/>
      <c r="F8" s="378"/>
      <c r="G8" s="364"/>
      <c r="H8" s="368"/>
      <c r="I8" s="366"/>
      <c r="J8" s="362"/>
      <c r="K8" s="362"/>
      <c r="L8" s="362"/>
    </row>
    <row r="9" spans="1:12" s="40" customFormat="1" ht="14.25">
      <c r="A9" s="383" t="s">
        <v>996</v>
      </c>
      <c r="B9" s="369"/>
      <c r="C9" s="369"/>
      <c r="D9" s="369"/>
      <c r="E9" s="370"/>
      <c r="F9" s="151" t="s">
        <v>834</v>
      </c>
      <c r="G9" s="214">
        <v>9721</v>
      </c>
      <c r="H9" s="214">
        <v>227050</v>
      </c>
      <c r="I9" s="214">
        <v>833090</v>
      </c>
      <c r="J9" s="297">
        <v>100</v>
      </c>
      <c r="K9" s="297">
        <f>H9/G9</f>
        <v>23.356650550354903</v>
      </c>
      <c r="L9" s="297">
        <f>I9/G9</f>
        <v>85.70003086102253</v>
      </c>
    </row>
    <row r="10" spans="1:12" s="40" customFormat="1" ht="14.25">
      <c r="A10" s="371"/>
      <c r="B10" s="371"/>
      <c r="C10" s="371"/>
      <c r="D10" s="371"/>
      <c r="E10" s="372"/>
      <c r="F10" s="152" t="s">
        <v>835</v>
      </c>
      <c r="G10" s="215">
        <v>7168</v>
      </c>
      <c r="H10" s="215">
        <v>174442</v>
      </c>
      <c r="I10" s="215">
        <v>600616</v>
      </c>
      <c r="J10" s="298">
        <v>100</v>
      </c>
      <c r="K10" s="298">
        <f aca="true" t="shared" si="0" ref="K10:K47">H10/G10</f>
        <v>24.336216517857142</v>
      </c>
      <c r="L10" s="298">
        <f aca="true" t="shared" si="1" ref="L10:L47">I10/G10</f>
        <v>83.79129464285714</v>
      </c>
    </row>
    <row r="11" spans="1:12" s="40" customFormat="1" ht="14.25">
      <c r="A11" s="373"/>
      <c r="B11" s="373"/>
      <c r="C11" s="373"/>
      <c r="D11" s="373"/>
      <c r="E11" s="374"/>
      <c r="F11" s="152" t="s">
        <v>836</v>
      </c>
      <c r="G11" s="216">
        <v>2553</v>
      </c>
      <c r="H11" s="215">
        <v>52608</v>
      </c>
      <c r="I11" s="216">
        <v>232474</v>
      </c>
      <c r="J11" s="299">
        <v>100</v>
      </c>
      <c r="K11" s="299">
        <f t="shared" si="0"/>
        <v>20.606345475910693</v>
      </c>
      <c r="L11" s="299">
        <f t="shared" si="1"/>
        <v>91.05914610262437</v>
      </c>
    </row>
    <row r="12" spans="1:12" s="40" customFormat="1" ht="14.25" customHeight="1">
      <c r="A12" s="416" t="s">
        <v>837</v>
      </c>
      <c r="B12" s="418" t="s">
        <v>841</v>
      </c>
      <c r="C12" s="405"/>
      <c r="D12" s="405"/>
      <c r="E12" s="406"/>
      <c r="F12" s="151" t="s">
        <v>834</v>
      </c>
      <c r="G12" s="217">
        <v>9490</v>
      </c>
      <c r="H12" s="214">
        <v>184330</v>
      </c>
      <c r="I12" s="217">
        <v>693112</v>
      </c>
      <c r="J12" s="297">
        <f>ROUND(G12/$G$9*100,1)</f>
        <v>97.6</v>
      </c>
      <c r="K12" s="297">
        <f t="shared" si="0"/>
        <v>19.423603793466807</v>
      </c>
      <c r="L12" s="297">
        <f t="shared" si="1"/>
        <v>73.03603793466807</v>
      </c>
    </row>
    <row r="13" spans="1:12" s="40" customFormat="1" ht="14.25" customHeight="1">
      <c r="A13" s="394"/>
      <c r="B13" s="419"/>
      <c r="C13" s="407"/>
      <c r="D13" s="407"/>
      <c r="E13" s="408"/>
      <c r="F13" s="152" t="s">
        <v>835</v>
      </c>
      <c r="G13" s="215">
        <v>7002</v>
      </c>
      <c r="H13" s="218">
        <v>142954</v>
      </c>
      <c r="I13" s="218">
        <v>506955</v>
      </c>
      <c r="J13" s="298">
        <f>ROUND(G13/$G$10*100,1)</f>
        <v>97.7</v>
      </c>
      <c r="K13" s="298">
        <f t="shared" si="0"/>
        <v>20.416166809483006</v>
      </c>
      <c r="L13" s="298">
        <f t="shared" si="1"/>
        <v>72.40145672664953</v>
      </c>
    </row>
    <row r="14" spans="1:12" s="40" customFormat="1" ht="14.25" customHeight="1">
      <c r="A14" s="394"/>
      <c r="B14" s="420"/>
      <c r="C14" s="409"/>
      <c r="D14" s="409"/>
      <c r="E14" s="410"/>
      <c r="F14" s="152" t="s">
        <v>836</v>
      </c>
      <c r="G14" s="217">
        <v>2488</v>
      </c>
      <c r="H14" s="219">
        <v>41376</v>
      </c>
      <c r="I14" s="219">
        <v>186157</v>
      </c>
      <c r="J14" s="299">
        <f>ROUND(G14/$G$11*100,1)</f>
        <v>97.5</v>
      </c>
      <c r="K14" s="299">
        <f t="shared" si="0"/>
        <v>16.630225080385852</v>
      </c>
      <c r="L14" s="299">
        <f t="shared" si="1"/>
        <v>74.82194533762058</v>
      </c>
    </row>
    <row r="15" spans="1:12" s="40" customFormat="1" ht="14.25" customHeight="1">
      <c r="A15" s="394"/>
      <c r="B15" s="395" t="s">
        <v>997</v>
      </c>
      <c r="C15" s="396"/>
      <c r="D15" s="396"/>
      <c r="E15" s="397"/>
      <c r="F15" s="151" t="s">
        <v>834</v>
      </c>
      <c r="G15" s="214">
        <v>0</v>
      </c>
      <c r="H15" s="214">
        <v>0</v>
      </c>
      <c r="I15" s="214">
        <v>0</v>
      </c>
      <c r="J15" s="297">
        <v>0</v>
      </c>
      <c r="K15" s="297">
        <v>0</v>
      </c>
      <c r="L15" s="297">
        <v>0</v>
      </c>
    </row>
    <row r="16" spans="1:12" s="40" customFormat="1" ht="14.25" customHeight="1">
      <c r="A16" s="394"/>
      <c r="B16" s="385"/>
      <c r="C16" s="386"/>
      <c r="D16" s="386"/>
      <c r="E16" s="387"/>
      <c r="F16" s="152" t="s">
        <v>835</v>
      </c>
      <c r="G16" s="215">
        <v>0</v>
      </c>
      <c r="H16" s="215">
        <v>0</v>
      </c>
      <c r="I16" s="215">
        <v>0</v>
      </c>
      <c r="J16" s="298">
        <v>0</v>
      </c>
      <c r="K16" s="298">
        <v>0</v>
      </c>
      <c r="L16" s="298">
        <v>0</v>
      </c>
    </row>
    <row r="17" spans="1:12" s="40" customFormat="1" ht="18.75" customHeight="1">
      <c r="A17" s="394"/>
      <c r="B17" s="388"/>
      <c r="C17" s="389"/>
      <c r="D17" s="389"/>
      <c r="E17" s="390"/>
      <c r="F17" s="152" t="s">
        <v>836</v>
      </c>
      <c r="G17" s="216">
        <v>0</v>
      </c>
      <c r="H17" s="216">
        <v>0</v>
      </c>
      <c r="I17" s="216">
        <v>0</v>
      </c>
      <c r="J17" s="299">
        <v>0</v>
      </c>
      <c r="K17" s="299">
        <v>0</v>
      </c>
      <c r="L17" s="299">
        <v>0</v>
      </c>
    </row>
    <row r="18" spans="1:12" s="40" customFormat="1" ht="13.5" customHeight="1">
      <c r="A18" s="394"/>
      <c r="B18" s="418" t="s">
        <v>816</v>
      </c>
      <c r="C18" s="405"/>
      <c r="D18" s="405"/>
      <c r="E18" s="406"/>
      <c r="F18" s="151" t="s">
        <v>834</v>
      </c>
      <c r="G18" s="214">
        <v>0</v>
      </c>
      <c r="H18" s="214">
        <v>0</v>
      </c>
      <c r="I18" s="214">
        <v>0</v>
      </c>
      <c r="J18" s="297">
        <v>0</v>
      </c>
      <c r="K18" s="297">
        <v>0</v>
      </c>
      <c r="L18" s="297">
        <v>0</v>
      </c>
    </row>
    <row r="19" spans="1:12" s="40" customFormat="1" ht="14.25" customHeight="1">
      <c r="A19" s="394"/>
      <c r="B19" s="419"/>
      <c r="C19" s="407"/>
      <c r="D19" s="407"/>
      <c r="E19" s="408"/>
      <c r="F19" s="152" t="s">
        <v>835</v>
      </c>
      <c r="G19" s="215">
        <v>0</v>
      </c>
      <c r="H19" s="215">
        <v>0</v>
      </c>
      <c r="I19" s="215">
        <v>0</v>
      </c>
      <c r="J19" s="298">
        <v>0</v>
      </c>
      <c r="K19" s="298">
        <v>0</v>
      </c>
      <c r="L19" s="298">
        <v>0</v>
      </c>
    </row>
    <row r="20" spans="1:12" s="40" customFormat="1" ht="14.25" customHeight="1">
      <c r="A20" s="394"/>
      <c r="B20" s="420"/>
      <c r="C20" s="409"/>
      <c r="D20" s="409"/>
      <c r="E20" s="410"/>
      <c r="F20" s="152" t="s">
        <v>836</v>
      </c>
      <c r="G20" s="216">
        <v>0</v>
      </c>
      <c r="H20" s="216">
        <v>0</v>
      </c>
      <c r="I20" s="216">
        <v>0</v>
      </c>
      <c r="J20" s="299">
        <v>0</v>
      </c>
      <c r="K20" s="299">
        <v>0</v>
      </c>
      <c r="L20" s="299">
        <v>0</v>
      </c>
    </row>
    <row r="21" spans="1:12" s="40" customFormat="1" ht="14.25" customHeight="1">
      <c r="A21" s="394"/>
      <c r="B21" s="418" t="s">
        <v>838</v>
      </c>
      <c r="C21" s="405"/>
      <c r="D21" s="405"/>
      <c r="E21" s="406"/>
      <c r="F21" s="151" t="s">
        <v>834</v>
      </c>
      <c r="G21" s="217">
        <v>263</v>
      </c>
      <c r="H21" s="217">
        <v>263</v>
      </c>
      <c r="I21" s="217">
        <v>31459</v>
      </c>
      <c r="J21" s="303">
        <f>ROUND(G21/$G$9*100,1)</f>
        <v>2.7</v>
      </c>
      <c r="K21" s="297">
        <f t="shared" si="0"/>
        <v>1</v>
      </c>
      <c r="L21" s="297">
        <f t="shared" si="1"/>
        <v>119.61596958174906</v>
      </c>
    </row>
    <row r="22" spans="1:12" s="40" customFormat="1" ht="14.25">
      <c r="A22" s="394"/>
      <c r="B22" s="419"/>
      <c r="C22" s="407"/>
      <c r="D22" s="407"/>
      <c r="E22" s="408"/>
      <c r="F22" s="152" t="s">
        <v>835</v>
      </c>
      <c r="G22" s="217">
        <v>143</v>
      </c>
      <c r="H22" s="217">
        <v>143</v>
      </c>
      <c r="I22" s="217">
        <v>17075</v>
      </c>
      <c r="J22" s="304">
        <f>ROUND(G22/$G$10*100,1)</f>
        <v>2</v>
      </c>
      <c r="K22" s="298">
        <f t="shared" si="0"/>
        <v>1</v>
      </c>
      <c r="L22" s="298">
        <f t="shared" si="1"/>
        <v>119.4055944055944</v>
      </c>
    </row>
    <row r="23" spans="1:12" s="40" customFormat="1" ht="14.25">
      <c r="A23" s="394"/>
      <c r="B23" s="420"/>
      <c r="C23" s="409"/>
      <c r="D23" s="409"/>
      <c r="E23" s="410"/>
      <c r="F23" s="152" t="s">
        <v>836</v>
      </c>
      <c r="G23" s="217">
        <v>120</v>
      </c>
      <c r="H23" s="217">
        <v>120</v>
      </c>
      <c r="I23" s="217">
        <v>14384</v>
      </c>
      <c r="J23" s="305">
        <f>ROUND(G23/$G$11*100,1)</f>
        <v>4.7</v>
      </c>
      <c r="K23" s="299">
        <f t="shared" si="0"/>
        <v>1</v>
      </c>
      <c r="L23" s="299">
        <f t="shared" si="1"/>
        <v>119.86666666666666</v>
      </c>
    </row>
    <row r="24" spans="1:12" s="40" customFormat="1" ht="14.25">
      <c r="A24" s="422" t="s">
        <v>440</v>
      </c>
      <c r="B24" s="418" t="s">
        <v>999</v>
      </c>
      <c r="C24" s="405"/>
      <c r="D24" s="405"/>
      <c r="E24" s="406"/>
      <c r="F24" s="151" t="s">
        <v>834</v>
      </c>
      <c r="G24" s="214">
        <v>95</v>
      </c>
      <c r="H24" s="214">
        <v>95</v>
      </c>
      <c r="I24" s="214">
        <v>3249</v>
      </c>
      <c r="J24" s="303">
        <f>ROUND(G24/$G$9*100,1)</f>
        <v>1</v>
      </c>
      <c r="K24" s="297">
        <f t="shared" si="0"/>
        <v>1</v>
      </c>
      <c r="L24" s="297">
        <f t="shared" si="1"/>
        <v>34.2</v>
      </c>
    </row>
    <row r="25" spans="1:12" s="40" customFormat="1" ht="14.25">
      <c r="A25" s="422"/>
      <c r="B25" s="419"/>
      <c r="C25" s="407"/>
      <c r="D25" s="407"/>
      <c r="E25" s="408"/>
      <c r="F25" s="152" t="s">
        <v>835</v>
      </c>
      <c r="G25" s="215">
        <v>71</v>
      </c>
      <c r="H25" s="215">
        <v>71</v>
      </c>
      <c r="I25" s="215">
        <v>2454</v>
      </c>
      <c r="J25" s="304">
        <f>ROUND(G25/$G$10*100,1)</f>
        <v>1</v>
      </c>
      <c r="K25" s="298">
        <f t="shared" si="0"/>
        <v>1</v>
      </c>
      <c r="L25" s="298">
        <f t="shared" si="1"/>
        <v>34.563380281690144</v>
      </c>
    </row>
    <row r="26" spans="1:12" s="40" customFormat="1" ht="15.75" customHeight="1">
      <c r="A26" s="422"/>
      <c r="B26" s="420"/>
      <c r="C26" s="409"/>
      <c r="D26" s="409"/>
      <c r="E26" s="410"/>
      <c r="F26" s="152" t="s">
        <v>836</v>
      </c>
      <c r="G26" s="216">
        <v>24</v>
      </c>
      <c r="H26" s="216">
        <v>24</v>
      </c>
      <c r="I26" s="216">
        <v>795</v>
      </c>
      <c r="J26" s="305">
        <f>ROUND(G26/$G$11*100,1)</f>
        <v>0.9</v>
      </c>
      <c r="K26" s="299">
        <f t="shared" si="0"/>
        <v>1</v>
      </c>
      <c r="L26" s="299">
        <f t="shared" si="1"/>
        <v>33.125</v>
      </c>
    </row>
    <row r="27" spans="1:12" s="40" customFormat="1" ht="14.25">
      <c r="A27" s="422"/>
      <c r="B27" s="418" t="s">
        <v>839</v>
      </c>
      <c r="C27" s="405"/>
      <c r="D27" s="405"/>
      <c r="E27" s="406"/>
      <c r="F27" s="151" t="s">
        <v>834</v>
      </c>
      <c r="G27" s="217">
        <v>9152</v>
      </c>
      <c r="H27" s="217">
        <v>144693</v>
      </c>
      <c r="I27" s="217">
        <v>464950</v>
      </c>
      <c r="J27" s="303">
        <f>ROUND(G27/$G$9*100,1)</f>
        <v>94.1</v>
      </c>
      <c r="K27" s="297">
        <f t="shared" si="0"/>
        <v>15.809986888111888</v>
      </c>
      <c r="L27" s="297">
        <f t="shared" si="1"/>
        <v>50.80310314685315</v>
      </c>
    </row>
    <row r="28" spans="1:12" s="40" customFormat="1" ht="14.25">
      <c r="A28" s="422"/>
      <c r="B28" s="419"/>
      <c r="C28" s="407"/>
      <c r="D28" s="407"/>
      <c r="E28" s="408"/>
      <c r="F28" s="152" t="s">
        <v>835</v>
      </c>
      <c r="G28" s="217">
        <v>6774</v>
      </c>
      <c r="H28" s="217">
        <v>112697</v>
      </c>
      <c r="I28" s="217">
        <v>350226</v>
      </c>
      <c r="J28" s="304">
        <f>ROUND(G28/$G$10*100,1)</f>
        <v>94.5</v>
      </c>
      <c r="K28" s="298">
        <f t="shared" si="0"/>
        <v>16.636699143785062</v>
      </c>
      <c r="L28" s="298">
        <f t="shared" si="1"/>
        <v>51.70150575730735</v>
      </c>
    </row>
    <row r="29" spans="1:12" s="40" customFormat="1" ht="14.25">
      <c r="A29" s="422"/>
      <c r="B29" s="420"/>
      <c r="C29" s="409"/>
      <c r="D29" s="409"/>
      <c r="E29" s="410"/>
      <c r="F29" s="152" t="s">
        <v>836</v>
      </c>
      <c r="G29" s="217">
        <v>2378</v>
      </c>
      <c r="H29" s="217">
        <v>31996</v>
      </c>
      <c r="I29" s="217">
        <v>114724</v>
      </c>
      <c r="J29" s="305">
        <f>ROUND(G29/$G$11*100,1)</f>
        <v>93.1</v>
      </c>
      <c r="K29" s="299">
        <f t="shared" si="0"/>
        <v>13.455004205214466</v>
      </c>
      <c r="L29" s="299">
        <f t="shared" si="1"/>
        <v>48.24390243902439</v>
      </c>
    </row>
    <row r="30" spans="1:12" s="40" customFormat="1" ht="14.25">
      <c r="A30" s="422"/>
      <c r="B30" s="418" t="s">
        <v>840</v>
      </c>
      <c r="C30" s="405"/>
      <c r="D30" s="405"/>
      <c r="E30" s="406"/>
      <c r="F30" s="151" t="s">
        <v>834</v>
      </c>
      <c r="G30" s="214">
        <v>6985</v>
      </c>
      <c r="H30" s="214">
        <f>39278-83</f>
        <v>39195</v>
      </c>
      <c r="I30" s="214">
        <f>193451-6178</f>
        <v>187273</v>
      </c>
      <c r="J30" s="303">
        <f>ROUND(G30/$G$9*100,1)</f>
        <v>71.9</v>
      </c>
      <c r="K30" s="297">
        <f t="shared" si="0"/>
        <v>5.611309949892627</v>
      </c>
      <c r="L30" s="297">
        <f t="shared" si="1"/>
        <v>26.81073729420186</v>
      </c>
    </row>
    <row r="31" spans="1:12" s="40" customFormat="1" ht="14.25">
      <c r="A31" s="422"/>
      <c r="B31" s="419"/>
      <c r="C31" s="407"/>
      <c r="D31" s="407"/>
      <c r="E31" s="408"/>
      <c r="F31" s="152" t="s">
        <v>835</v>
      </c>
      <c r="G31" s="215">
        <v>5129</v>
      </c>
      <c r="H31" s="215">
        <f>30042-53</f>
        <v>29989</v>
      </c>
      <c r="I31" s="215">
        <f>137197-3962</f>
        <v>133235</v>
      </c>
      <c r="J31" s="304">
        <f>ROUND(G31/$G$10*100,1)</f>
        <v>71.6</v>
      </c>
      <c r="K31" s="298">
        <f t="shared" si="0"/>
        <v>5.846948722947943</v>
      </c>
      <c r="L31" s="298">
        <f t="shared" si="1"/>
        <v>25.976798596217588</v>
      </c>
    </row>
    <row r="32" spans="1:12" s="40" customFormat="1" ht="14.25">
      <c r="A32" s="422"/>
      <c r="B32" s="420"/>
      <c r="C32" s="409"/>
      <c r="D32" s="409"/>
      <c r="E32" s="410"/>
      <c r="F32" s="152" t="s">
        <v>836</v>
      </c>
      <c r="G32" s="216">
        <v>1856</v>
      </c>
      <c r="H32" s="216">
        <f>9236-30</f>
        <v>9206</v>
      </c>
      <c r="I32" s="216">
        <f>56254-2216</f>
        <v>54038</v>
      </c>
      <c r="J32" s="305">
        <f>ROUND(G32/$G$11*100,1)</f>
        <v>72.7</v>
      </c>
      <c r="K32" s="299">
        <f t="shared" si="0"/>
        <v>4.960129310344827</v>
      </c>
      <c r="L32" s="299">
        <f t="shared" si="1"/>
        <v>29.115301724137932</v>
      </c>
    </row>
    <row r="33" spans="1:12" s="40" customFormat="1" ht="14.25">
      <c r="A33" s="422"/>
      <c r="B33" s="421" t="s">
        <v>457</v>
      </c>
      <c r="C33" s="405"/>
      <c r="D33" s="405"/>
      <c r="E33" s="406"/>
      <c r="F33" s="151" t="s">
        <v>782</v>
      </c>
      <c r="G33" s="177">
        <f>SUM(G34:G35)</f>
        <v>39</v>
      </c>
      <c r="H33" s="177">
        <f>SUM(H34:H35)</f>
        <v>39</v>
      </c>
      <c r="I33" s="177">
        <f>G33*150</f>
        <v>5850</v>
      </c>
      <c r="J33" s="303">
        <f>ROUND(G33/$G$9*100,1)</f>
        <v>0.4</v>
      </c>
      <c r="K33" s="297">
        <f t="shared" si="0"/>
        <v>1</v>
      </c>
      <c r="L33" s="297">
        <f t="shared" si="1"/>
        <v>150</v>
      </c>
    </row>
    <row r="34" spans="1:12" s="40" customFormat="1" ht="14.25">
      <c r="A34" s="422"/>
      <c r="B34" s="419"/>
      <c r="C34" s="407"/>
      <c r="D34" s="407"/>
      <c r="E34" s="408"/>
      <c r="F34" s="152" t="s">
        <v>783</v>
      </c>
      <c r="G34" s="177">
        <v>25</v>
      </c>
      <c r="H34" s="177">
        <v>25</v>
      </c>
      <c r="I34" s="177">
        <f>G34*150</f>
        <v>3750</v>
      </c>
      <c r="J34" s="304">
        <f>ROUND(G34/$G$10*100,1)</f>
        <v>0.3</v>
      </c>
      <c r="K34" s="298">
        <f t="shared" si="0"/>
        <v>1</v>
      </c>
      <c r="L34" s="298">
        <f t="shared" si="1"/>
        <v>150</v>
      </c>
    </row>
    <row r="35" spans="1:12" s="40" customFormat="1" ht="14.25">
      <c r="A35" s="422"/>
      <c r="B35" s="420"/>
      <c r="C35" s="409"/>
      <c r="D35" s="409"/>
      <c r="E35" s="410"/>
      <c r="F35" s="152" t="s">
        <v>784</v>
      </c>
      <c r="G35" s="177">
        <v>14</v>
      </c>
      <c r="H35" s="177">
        <v>14</v>
      </c>
      <c r="I35" s="177">
        <f>G35*150</f>
        <v>2100</v>
      </c>
      <c r="J35" s="305">
        <f>ROUND(G35/$G$11*100,1)</f>
        <v>0.5</v>
      </c>
      <c r="K35" s="299">
        <f t="shared" si="0"/>
        <v>1</v>
      </c>
      <c r="L35" s="299">
        <f t="shared" si="1"/>
        <v>150</v>
      </c>
    </row>
    <row r="36" spans="1:12" s="40" customFormat="1" ht="14.25">
      <c r="A36" s="416" t="s">
        <v>395</v>
      </c>
      <c r="B36" s="418" t="s">
        <v>841</v>
      </c>
      <c r="C36" s="405"/>
      <c r="D36" s="405"/>
      <c r="E36" s="406"/>
      <c r="F36" s="151" t="s">
        <v>834</v>
      </c>
      <c r="G36" s="214">
        <v>155</v>
      </c>
      <c r="H36" s="214">
        <v>765</v>
      </c>
      <c r="I36" s="214">
        <v>7353</v>
      </c>
      <c r="J36" s="303">
        <f>ROUND(G36/$G$9*100,1)</f>
        <v>1.6</v>
      </c>
      <c r="K36" s="297">
        <f t="shared" si="0"/>
        <v>4.935483870967742</v>
      </c>
      <c r="L36" s="297">
        <f t="shared" si="1"/>
        <v>47.438709677419354</v>
      </c>
    </row>
    <row r="37" spans="1:12" s="40" customFormat="1" ht="14.25">
      <c r="A37" s="417"/>
      <c r="B37" s="419"/>
      <c r="C37" s="407"/>
      <c r="D37" s="407"/>
      <c r="E37" s="408"/>
      <c r="F37" s="152" t="s">
        <v>835</v>
      </c>
      <c r="G37" s="215">
        <v>102</v>
      </c>
      <c r="H37" s="215">
        <v>455</v>
      </c>
      <c r="I37" s="215">
        <v>4446</v>
      </c>
      <c r="J37" s="304">
        <f>ROUND(G37/$G$10*100,1)</f>
        <v>1.4</v>
      </c>
      <c r="K37" s="298">
        <f t="shared" si="0"/>
        <v>4.46078431372549</v>
      </c>
      <c r="L37" s="298">
        <f t="shared" si="1"/>
        <v>43.588235294117645</v>
      </c>
    </row>
    <row r="38" spans="1:12" s="40" customFormat="1" ht="14.25">
      <c r="A38" s="417"/>
      <c r="B38" s="420"/>
      <c r="C38" s="409"/>
      <c r="D38" s="409"/>
      <c r="E38" s="410"/>
      <c r="F38" s="152" t="s">
        <v>836</v>
      </c>
      <c r="G38" s="216">
        <v>53</v>
      </c>
      <c r="H38" s="216">
        <v>310</v>
      </c>
      <c r="I38" s="216">
        <v>2907</v>
      </c>
      <c r="J38" s="305">
        <f>ROUND(G38/$G$11*100,1)</f>
        <v>2.1</v>
      </c>
      <c r="K38" s="299">
        <f t="shared" si="0"/>
        <v>5.849056603773585</v>
      </c>
      <c r="L38" s="299">
        <f t="shared" si="1"/>
        <v>54.84905660377358</v>
      </c>
    </row>
    <row r="39" spans="1:12" s="42" customFormat="1" ht="14.25">
      <c r="A39" s="417"/>
      <c r="B39" s="423" t="s">
        <v>250</v>
      </c>
      <c r="C39" s="424"/>
      <c r="D39" s="424"/>
      <c r="E39" s="425"/>
      <c r="F39" s="151" t="s">
        <v>834</v>
      </c>
      <c r="G39" s="217">
        <v>142</v>
      </c>
      <c r="H39" s="217">
        <v>695</v>
      </c>
      <c r="I39" s="217">
        <v>6644</v>
      </c>
      <c r="J39" s="303">
        <f>ROUND(G39/$G$9*100,1)</f>
        <v>1.5</v>
      </c>
      <c r="K39" s="297">
        <f t="shared" si="0"/>
        <v>4.894366197183099</v>
      </c>
      <c r="L39" s="297">
        <f t="shared" si="1"/>
        <v>46.7887323943662</v>
      </c>
    </row>
    <row r="40" spans="1:12" s="42" customFormat="1" ht="14.25">
      <c r="A40" s="401" t="s">
        <v>240</v>
      </c>
      <c r="B40" s="426"/>
      <c r="C40" s="427"/>
      <c r="D40" s="427"/>
      <c r="E40" s="428"/>
      <c r="F40" s="152" t="s">
        <v>835</v>
      </c>
      <c r="G40" s="217">
        <v>90</v>
      </c>
      <c r="H40" s="217">
        <v>387</v>
      </c>
      <c r="I40" s="217">
        <v>3797</v>
      </c>
      <c r="J40" s="304">
        <f>ROUND(G40/$G$10*100,1)</f>
        <v>1.3</v>
      </c>
      <c r="K40" s="298">
        <f t="shared" si="0"/>
        <v>4.3</v>
      </c>
      <c r="L40" s="298">
        <f t="shared" si="1"/>
        <v>42.18888888888889</v>
      </c>
    </row>
    <row r="41" spans="1:12" s="42" customFormat="1" ht="14.25">
      <c r="A41" s="401"/>
      <c r="B41" s="391"/>
      <c r="C41" s="392"/>
      <c r="D41" s="392"/>
      <c r="E41" s="393"/>
      <c r="F41" s="152" t="s">
        <v>836</v>
      </c>
      <c r="G41" s="217">
        <v>52</v>
      </c>
      <c r="H41" s="217">
        <v>308</v>
      </c>
      <c r="I41" s="217">
        <v>2847</v>
      </c>
      <c r="J41" s="305">
        <f>ROUND(G41/$G$11*100,1)</f>
        <v>2</v>
      </c>
      <c r="K41" s="299">
        <f t="shared" si="0"/>
        <v>5.923076923076923</v>
      </c>
      <c r="L41" s="299">
        <f t="shared" si="1"/>
        <v>54.75</v>
      </c>
    </row>
    <row r="42" spans="1:12" s="40" customFormat="1" ht="14.25">
      <c r="A42" s="401"/>
      <c r="B42" s="423" t="s">
        <v>249</v>
      </c>
      <c r="C42" s="424"/>
      <c r="D42" s="424"/>
      <c r="E42" s="425"/>
      <c r="F42" s="151" t="s">
        <v>834</v>
      </c>
      <c r="G42" s="214">
        <v>13</v>
      </c>
      <c r="H42" s="214">
        <v>70</v>
      </c>
      <c r="I42" s="214">
        <v>709</v>
      </c>
      <c r="J42" s="303">
        <f>ROUND(G42/$G$9*100,1)</f>
        <v>0.1</v>
      </c>
      <c r="K42" s="297">
        <f t="shared" si="0"/>
        <v>5.384615384615385</v>
      </c>
      <c r="L42" s="297">
        <f t="shared" si="1"/>
        <v>54.53846153846154</v>
      </c>
    </row>
    <row r="43" spans="1:12" s="40" customFormat="1" ht="14.25">
      <c r="A43" s="401"/>
      <c r="B43" s="426"/>
      <c r="C43" s="427"/>
      <c r="D43" s="427"/>
      <c r="E43" s="428"/>
      <c r="F43" s="152" t="s">
        <v>835</v>
      </c>
      <c r="G43" s="215">
        <v>12</v>
      </c>
      <c r="H43" s="215">
        <v>68</v>
      </c>
      <c r="I43" s="215">
        <v>649</v>
      </c>
      <c r="J43" s="304">
        <f>ROUND(G43/$G$10*100,1)</f>
        <v>0.2</v>
      </c>
      <c r="K43" s="298">
        <f t="shared" si="0"/>
        <v>5.666666666666667</v>
      </c>
      <c r="L43" s="298">
        <f t="shared" si="1"/>
        <v>54.083333333333336</v>
      </c>
    </row>
    <row r="44" spans="1:12" s="40" customFormat="1" ht="14.25">
      <c r="A44" s="402"/>
      <c r="B44" s="391"/>
      <c r="C44" s="392"/>
      <c r="D44" s="392"/>
      <c r="E44" s="393"/>
      <c r="F44" s="152" t="s">
        <v>836</v>
      </c>
      <c r="G44" s="216">
        <v>1</v>
      </c>
      <c r="H44" s="216">
        <v>2</v>
      </c>
      <c r="I44" s="216">
        <v>60</v>
      </c>
      <c r="J44" s="305">
        <f>ROUND(G44/$G$11*100,1)</f>
        <v>0</v>
      </c>
      <c r="K44" s="299">
        <f t="shared" si="0"/>
        <v>2</v>
      </c>
      <c r="L44" s="299">
        <f t="shared" si="1"/>
        <v>60</v>
      </c>
    </row>
    <row r="45" spans="1:12" s="75" customFormat="1" ht="14.25">
      <c r="A45" s="405" t="s">
        <v>394</v>
      </c>
      <c r="B45" s="405"/>
      <c r="C45" s="405"/>
      <c r="D45" s="405"/>
      <c r="E45" s="406"/>
      <c r="F45" s="151" t="s">
        <v>834</v>
      </c>
      <c r="G45" s="214">
        <v>7110</v>
      </c>
      <c r="H45" s="214">
        <v>41955</v>
      </c>
      <c r="I45" s="214">
        <v>132625</v>
      </c>
      <c r="J45" s="303">
        <f>ROUND(G45/$G$9*100,1)</f>
        <v>73.1</v>
      </c>
      <c r="K45" s="297">
        <f t="shared" si="0"/>
        <v>5.90084388185654</v>
      </c>
      <c r="L45" s="297">
        <f t="shared" si="1"/>
        <v>18.653305203938114</v>
      </c>
    </row>
    <row r="46" spans="1:12" s="75" customFormat="1" ht="14.25">
      <c r="A46" s="407"/>
      <c r="B46" s="407"/>
      <c r="C46" s="407"/>
      <c r="D46" s="407"/>
      <c r="E46" s="408"/>
      <c r="F46" s="152" t="s">
        <v>835</v>
      </c>
      <c r="G46" s="215">
        <v>5181</v>
      </c>
      <c r="H46" s="215">
        <v>31033</v>
      </c>
      <c r="I46" s="215">
        <v>89215</v>
      </c>
      <c r="J46" s="304">
        <f>ROUND(G46/$G$10*100,1)</f>
        <v>72.3</v>
      </c>
      <c r="K46" s="298">
        <f t="shared" si="0"/>
        <v>5.989770314611079</v>
      </c>
      <c r="L46" s="298">
        <f t="shared" si="1"/>
        <v>17.219648716464004</v>
      </c>
    </row>
    <row r="47" spans="1:12" s="75" customFormat="1" ht="14.25">
      <c r="A47" s="409"/>
      <c r="B47" s="409"/>
      <c r="C47" s="409"/>
      <c r="D47" s="409"/>
      <c r="E47" s="410"/>
      <c r="F47" s="152" t="s">
        <v>836</v>
      </c>
      <c r="G47" s="216">
        <v>1929</v>
      </c>
      <c r="H47" s="216">
        <v>10922</v>
      </c>
      <c r="I47" s="216">
        <v>43410</v>
      </c>
      <c r="J47" s="305">
        <f>ROUND(G47/$G$11*100,1)</f>
        <v>75.6</v>
      </c>
      <c r="K47" s="299">
        <f t="shared" si="0"/>
        <v>5.662001036806635</v>
      </c>
      <c r="L47" s="299">
        <f t="shared" si="1"/>
        <v>22.50388802488336</v>
      </c>
    </row>
    <row r="48" spans="1:12" s="75" customFormat="1" ht="12">
      <c r="A48" s="359" t="s">
        <v>252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</row>
    <row r="49" spans="1:12" s="75" customFormat="1" ht="12">
      <c r="A49" s="359" t="s">
        <v>253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</row>
    <row r="50" spans="1:12" s="75" customFormat="1" ht="12">
      <c r="A50" s="358" t="s">
        <v>254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</row>
    <row r="51" spans="1:12" s="75" customFormat="1" ht="12">
      <c r="A51" s="358" t="s">
        <v>255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</row>
    <row r="52" spans="1:12" ht="11.25" customHeight="1">
      <c r="A52" s="411" t="s">
        <v>53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</row>
    <row r="53" spans="1:12" ht="11.25" customHeight="1">
      <c r="A53" s="413" t="s">
        <v>243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</row>
    <row r="54" spans="1:12" ht="11.25" customHeight="1">
      <c r="A54" s="361" t="s">
        <v>257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</row>
    <row r="55" spans="1:12" ht="10.5" customHeight="1">
      <c r="A55" s="360" t="s">
        <v>256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</row>
    <row r="56" spans="1:12" ht="11.25" customHeight="1">
      <c r="A56" s="360" t="s">
        <v>317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</row>
    <row r="57" spans="1:12" ht="11.25" customHeight="1">
      <c r="A57" s="360" t="s">
        <v>287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</row>
    <row r="58" spans="1:12" ht="11.25" customHeight="1">
      <c r="A58" s="360" t="s">
        <v>286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</row>
    <row r="59" spans="1:12" ht="10.5" customHeight="1">
      <c r="A59" s="360" t="s">
        <v>33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</row>
    <row r="60" spans="1:12" ht="16.5">
      <c r="A60" s="403" t="str">
        <f>"- "&amp;Sheet1!B22&amp;" -"</f>
        <v>- 145 -</v>
      </c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</row>
    <row r="61" spans="1:12" ht="16.5">
      <c r="A61" s="37"/>
      <c r="B61" s="37"/>
      <c r="C61" s="37"/>
      <c r="D61" s="37"/>
      <c r="F61" s="37"/>
      <c r="G61" s="37"/>
      <c r="H61" s="37"/>
      <c r="I61" s="37"/>
      <c r="J61" s="37"/>
      <c r="K61" s="37"/>
      <c r="L61" s="37"/>
    </row>
    <row r="62" spans="1:12" ht="16.5">
      <c r="A62" s="37"/>
      <c r="B62" s="37"/>
      <c r="C62" s="37"/>
      <c r="D62" s="37"/>
      <c r="F62" s="37"/>
      <c r="G62" s="37"/>
      <c r="H62" s="37"/>
      <c r="I62" s="37"/>
      <c r="J62" s="37"/>
      <c r="K62" s="37"/>
      <c r="L62" s="37"/>
    </row>
  </sheetData>
  <sheetProtection/>
  <mergeCells count="41">
    <mergeCell ref="A60:L60"/>
    <mergeCell ref="B21:E23"/>
    <mergeCell ref="A58:L58"/>
    <mergeCell ref="A51:L51"/>
    <mergeCell ref="A36:A39"/>
    <mergeCell ref="A49:L49"/>
    <mergeCell ref="A48:L48"/>
    <mergeCell ref="A40:A44"/>
    <mergeCell ref="A52:L52"/>
    <mergeCell ref="B12:E14"/>
    <mergeCell ref="B33:E35"/>
    <mergeCell ref="A12:A23"/>
    <mergeCell ref="B24:E26"/>
    <mergeCell ref="A1:L1"/>
    <mergeCell ref="A4:L4"/>
    <mergeCell ref="A2:L2"/>
    <mergeCell ref="A5:L5"/>
    <mergeCell ref="L7:L8"/>
    <mergeCell ref="B18:E20"/>
    <mergeCell ref="G7:G8"/>
    <mergeCell ref="I7:I8"/>
    <mergeCell ref="B15:E17"/>
    <mergeCell ref="K7:K8"/>
    <mergeCell ref="H7:H8"/>
    <mergeCell ref="A7:F8"/>
    <mergeCell ref="A9:E11"/>
    <mergeCell ref="J7:J8"/>
    <mergeCell ref="A50:L50"/>
    <mergeCell ref="B30:E32"/>
    <mergeCell ref="B36:E38"/>
    <mergeCell ref="B27:E29"/>
    <mergeCell ref="A45:E47"/>
    <mergeCell ref="B39:E41"/>
    <mergeCell ref="B42:E44"/>
    <mergeCell ref="A24:A35"/>
    <mergeCell ref="A59:L59"/>
    <mergeCell ref="A56:L56"/>
    <mergeCell ref="A53:L53"/>
    <mergeCell ref="A55:L55"/>
    <mergeCell ref="A57:L57"/>
    <mergeCell ref="A54:L54"/>
  </mergeCells>
  <printOptions/>
  <pageMargins left="0.3937007874015748" right="0.3937007874015748" top="0.3937007874015748" bottom="0.010416666666666666" header="0.5118110236220472" footer="0.708661417322834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S55"/>
  <sheetViews>
    <sheetView view="pageLayout" zoomScaleSheetLayoutView="85" workbookViewId="0" topLeftCell="A34">
      <selection activeCell="A55" sqref="A55:J55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7.75390625" style="89" customWidth="1"/>
    <col min="11" max="11" width="9.00390625" style="89" customWidth="1"/>
    <col min="12" max="17" width="8.625" style="89" customWidth="1"/>
    <col min="18" max="18" width="9.875" style="89" customWidth="1"/>
    <col min="19" max="19" width="8.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531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211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3"/>
      <c r="J3" s="4" t="s">
        <v>698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695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392</v>
      </c>
      <c r="E5" s="507" t="s">
        <v>705</v>
      </c>
      <c r="F5" s="507" t="s">
        <v>706</v>
      </c>
      <c r="G5" s="507" t="s">
        <v>707</v>
      </c>
      <c r="H5" s="495" t="s">
        <v>699</v>
      </c>
      <c r="I5" s="496"/>
      <c r="J5" s="496"/>
      <c r="K5" s="496" t="s">
        <v>667</v>
      </c>
      <c r="L5" s="496"/>
      <c r="M5" s="496"/>
      <c r="N5" s="496"/>
      <c r="O5" s="496"/>
      <c r="P5" s="514"/>
      <c r="Q5" s="495" t="s">
        <v>709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27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19" t="s">
        <v>711</v>
      </c>
    </row>
    <row r="7" spans="1:45" s="93" customFormat="1" ht="13.5" customHeight="1">
      <c r="A7" s="541" t="s">
        <v>527</v>
      </c>
      <c r="B7" s="507" t="s">
        <v>522</v>
      </c>
      <c r="C7" s="141" t="s">
        <v>702</v>
      </c>
      <c r="D7" s="140">
        <f>SUM(D8:D9)</f>
        <v>1928</v>
      </c>
      <c r="E7" s="56">
        <f>SUM(E8:E9)</f>
        <v>1928</v>
      </c>
      <c r="F7" s="56">
        <f>SUM(F8:F9)</f>
        <v>0</v>
      </c>
      <c r="G7" s="56">
        <f>SUM(G8:G9)/2</f>
        <v>30.5</v>
      </c>
      <c r="H7" s="56">
        <f aca="true" t="shared" si="0" ref="H7:T7">SUM(H8:H9)</f>
        <v>0</v>
      </c>
      <c r="I7" s="56">
        <f t="shared" si="0"/>
        <v>116</v>
      </c>
      <c r="J7" s="56">
        <f t="shared" si="0"/>
        <v>762</v>
      </c>
      <c r="K7" s="56">
        <f t="shared" si="0"/>
        <v>619</v>
      </c>
      <c r="L7" s="56">
        <f t="shared" si="0"/>
        <v>294</v>
      </c>
      <c r="M7" s="56">
        <f t="shared" si="0"/>
        <v>107</v>
      </c>
      <c r="N7" s="56">
        <f t="shared" si="0"/>
        <v>26</v>
      </c>
      <c r="O7" s="56">
        <f t="shared" si="0"/>
        <v>4</v>
      </c>
      <c r="P7" s="56">
        <f t="shared" si="0"/>
        <v>0</v>
      </c>
      <c r="Q7" s="56">
        <f t="shared" si="0"/>
        <v>71</v>
      </c>
      <c r="R7" s="56">
        <f t="shared" si="0"/>
        <v>1758</v>
      </c>
      <c r="S7" s="56">
        <f t="shared" si="0"/>
        <v>98</v>
      </c>
      <c r="T7" s="56">
        <f t="shared" si="0"/>
        <v>1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516"/>
      <c r="C8" s="143" t="s">
        <v>703</v>
      </c>
      <c r="D8" s="10">
        <v>1043</v>
      </c>
      <c r="E8" s="10">
        <v>1043</v>
      </c>
      <c r="F8" s="10">
        <v>0</v>
      </c>
      <c r="G8" s="10">
        <v>32</v>
      </c>
      <c r="H8" s="10">
        <v>0</v>
      </c>
      <c r="I8" s="10">
        <v>19</v>
      </c>
      <c r="J8" s="10">
        <v>364</v>
      </c>
      <c r="K8" s="10">
        <v>370</v>
      </c>
      <c r="L8" s="10">
        <v>186</v>
      </c>
      <c r="M8" s="10">
        <v>79</v>
      </c>
      <c r="N8" s="10">
        <v>21</v>
      </c>
      <c r="O8" s="10">
        <v>4</v>
      </c>
      <c r="P8" s="10">
        <v>0</v>
      </c>
      <c r="Q8" s="10">
        <v>61</v>
      </c>
      <c r="R8" s="10">
        <v>934</v>
      </c>
      <c r="S8" s="10">
        <v>47</v>
      </c>
      <c r="T8" s="10">
        <v>1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517"/>
      <c r="C9" s="144" t="s">
        <v>704</v>
      </c>
      <c r="D9" s="10">
        <v>885</v>
      </c>
      <c r="E9" s="10">
        <v>885</v>
      </c>
      <c r="F9" s="10">
        <v>0</v>
      </c>
      <c r="G9" s="10">
        <v>29</v>
      </c>
      <c r="H9" s="10">
        <v>0</v>
      </c>
      <c r="I9" s="10">
        <v>97</v>
      </c>
      <c r="J9" s="10">
        <v>398</v>
      </c>
      <c r="K9" s="10">
        <v>249</v>
      </c>
      <c r="L9" s="10">
        <v>108</v>
      </c>
      <c r="M9" s="10">
        <v>28</v>
      </c>
      <c r="N9" s="10">
        <v>5</v>
      </c>
      <c r="O9" s="10">
        <v>0</v>
      </c>
      <c r="P9" s="10">
        <v>0</v>
      </c>
      <c r="Q9" s="10">
        <v>10</v>
      </c>
      <c r="R9" s="10">
        <v>824</v>
      </c>
      <c r="S9" s="10">
        <v>51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542"/>
      <c r="B10" s="491" t="s">
        <v>532</v>
      </c>
      <c r="C10" s="141" t="s">
        <v>702</v>
      </c>
      <c r="D10" s="55">
        <f>SUM(D11:D12)</f>
        <v>1249</v>
      </c>
      <c r="E10" s="55">
        <f>SUM(E11:E12)</f>
        <v>1248</v>
      </c>
      <c r="F10" s="55">
        <f>SUM(F11:F12)</f>
        <v>1</v>
      </c>
      <c r="G10" s="55">
        <f>SUM(G11:G12)/2</f>
        <v>31</v>
      </c>
      <c r="H10" s="55">
        <f aca="true" t="shared" si="1" ref="H10:T10">SUM(H11:H12)</f>
        <v>0</v>
      </c>
      <c r="I10" s="55">
        <f t="shared" si="1"/>
        <v>55</v>
      </c>
      <c r="J10" s="55">
        <f t="shared" si="1"/>
        <v>490</v>
      </c>
      <c r="K10" s="55">
        <f t="shared" si="1"/>
        <v>394</v>
      </c>
      <c r="L10" s="55">
        <f t="shared" si="1"/>
        <v>223</v>
      </c>
      <c r="M10" s="55">
        <f t="shared" si="1"/>
        <v>58</v>
      </c>
      <c r="N10" s="55">
        <f t="shared" si="1"/>
        <v>27</v>
      </c>
      <c r="O10" s="55">
        <f t="shared" si="1"/>
        <v>2</v>
      </c>
      <c r="P10" s="55">
        <f t="shared" si="1"/>
        <v>0</v>
      </c>
      <c r="Q10" s="55">
        <f t="shared" si="1"/>
        <v>41</v>
      </c>
      <c r="R10" s="55">
        <f t="shared" si="1"/>
        <v>1141</v>
      </c>
      <c r="S10" s="55">
        <f t="shared" si="1"/>
        <v>67</v>
      </c>
      <c r="T10" s="55">
        <f t="shared" si="1"/>
        <v>0</v>
      </c>
    </row>
    <row r="11" spans="1:20" s="93" customFormat="1" ht="13.5" customHeight="1">
      <c r="A11" s="542"/>
      <c r="B11" s="492"/>
      <c r="C11" s="143" t="s">
        <v>703</v>
      </c>
      <c r="D11" s="49">
        <v>688</v>
      </c>
      <c r="E11" s="49">
        <v>687</v>
      </c>
      <c r="F11" s="58">
        <v>1</v>
      </c>
      <c r="G11" s="49">
        <v>32</v>
      </c>
      <c r="H11" s="49">
        <v>0</v>
      </c>
      <c r="I11" s="49">
        <v>12</v>
      </c>
      <c r="J11" s="59">
        <v>232</v>
      </c>
      <c r="K11" s="58">
        <v>240</v>
      </c>
      <c r="L11" s="58">
        <v>141</v>
      </c>
      <c r="M11" s="58">
        <v>39</v>
      </c>
      <c r="N11" s="58">
        <v>22</v>
      </c>
      <c r="O11" s="58">
        <v>2</v>
      </c>
      <c r="P11" s="58">
        <v>0</v>
      </c>
      <c r="Q11" s="58">
        <v>24</v>
      </c>
      <c r="R11" s="58">
        <v>633</v>
      </c>
      <c r="S11" s="58">
        <v>31</v>
      </c>
      <c r="T11" s="58">
        <v>0</v>
      </c>
    </row>
    <row r="12" spans="1:20" s="93" customFormat="1" ht="13.5" customHeight="1">
      <c r="A12" s="542"/>
      <c r="B12" s="493"/>
      <c r="C12" s="144" t="s">
        <v>704</v>
      </c>
      <c r="D12" s="49">
        <v>561</v>
      </c>
      <c r="E12" s="49">
        <v>561</v>
      </c>
      <c r="F12" s="58">
        <v>0</v>
      </c>
      <c r="G12" s="49">
        <v>30</v>
      </c>
      <c r="H12" s="49">
        <v>0</v>
      </c>
      <c r="I12" s="49">
        <v>43</v>
      </c>
      <c r="J12" s="59">
        <v>258</v>
      </c>
      <c r="K12" s="58">
        <v>154</v>
      </c>
      <c r="L12" s="58">
        <v>82</v>
      </c>
      <c r="M12" s="58">
        <v>19</v>
      </c>
      <c r="N12" s="58">
        <v>5</v>
      </c>
      <c r="O12" s="58">
        <v>0</v>
      </c>
      <c r="P12" s="58">
        <v>0</v>
      </c>
      <c r="Q12" s="58">
        <v>17</v>
      </c>
      <c r="R12" s="58">
        <v>508</v>
      </c>
      <c r="S12" s="58">
        <v>36</v>
      </c>
      <c r="T12" s="58">
        <v>0</v>
      </c>
    </row>
    <row r="13" spans="1:20" s="93" customFormat="1" ht="13.5" customHeight="1">
      <c r="A13" s="542"/>
      <c r="B13" s="491" t="s">
        <v>533</v>
      </c>
      <c r="C13" s="141" t="s">
        <v>702</v>
      </c>
      <c r="D13" s="55">
        <f>SUM(D14:D15)</f>
        <v>1550</v>
      </c>
      <c r="E13" s="55">
        <f>SUM(E14:E15)</f>
        <v>1550</v>
      </c>
      <c r="F13" s="55">
        <f>SUM(F14:F15)</f>
        <v>0</v>
      </c>
      <c r="G13" s="55">
        <f>SUM(G14:G15)/2</f>
        <v>30</v>
      </c>
      <c r="H13" s="55">
        <f aca="true" t="shared" si="2" ref="H13:T13">SUM(H14:H15)</f>
        <v>0</v>
      </c>
      <c r="I13" s="55">
        <f t="shared" si="2"/>
        <v>97</v>
      </c>
      <c r="J13" s="55">
        <f t="shared" si="2"/>
        <v>665</v>
      </c>
      <c r="K13" s="55">
        <f t="shared" si="2"/>
        <v>471</v>
      </c>
      <c r="L13" s="55">
        <f t="shared" si="2"/>
        <v>199</v>
      </c>
      <c r="M13" s="55">
        <f t="shared" si="2"/>
        <v>85</v>
      </c>
      <c r="N13" s="55">
        <f t="shared" si="2"/>
        <v>31</v>
      </c>
      <c r="O13" s="55">
        <f t="shared" si="2"/>
        <v>2</v>
      </c>
      <c r="P13" s="55">
        <f t="shared" si="2"/>
        <v>0</v>
      </c>
      <c r="Q13" s="55">
        <f t="shared" si="2"/>
        <v>56</v>
      </c>
      <c r="R13" s="55">
        <f t="shared" si="2"/>
        <v>1444</v>
      </c>
      <c r="S13" s="55">
        <f t="shared" si="2"/>
        <v>50</v>
      </c>
      <c r="T13" s="55">
        <f t="shared" si="2"/>
        <v>0</v>
      </c>
    </row>
    <row r="14" spans="1:20" s="93" customFormat="1" ht="13.5" customHeight="1">
      <c r="A14" s="542"/>
      <c r="B14" s="492"/>
      <c r="C14" s="143" t="s">
        <v>703</v>
      </c>
      <c r="D14" s="49">
        <v>796</v>
      </c>
      <c r="E14" s="49">
        <v>796</v>
      </c>
      <c r="F14" s="58">
        <v>0</v>
      </c>
      <c r="G14" s="49">
        <v>31</v>
      </c>
      <c r="H14" s="49">
        <v>0</v>
      </c>
      <c r="I14" s="49">
        <v>13</v>
      </c>
      <c r="J14" s="59">
        <v>305</v>
      </c>
      <c r="K14" s="58">
        <v>289</v>
      </c>
      <c r="L14" s="58">
        <v>122</v>
      </c>
      <c r="M14" s="58">
        <v>45</v>
      </c>
      <c r="N14" s="58">
        <v>20</v>
      </c>
      <c r="O14" s="58">
        <v>2</v>
      </c>
      <c r="P14" s="58">
        <v>0</v>
      </c>
      <c r="Q14" s="58">
        <v>41</v>
      </c>
      <c r="R14" s="58">
        <v>731</v>
      </c>
      <c r="S14" s="58">
        <v>24</v>
      </c>
      <c r="T14" s="62">
        <v>0</v>
      </c>
    </row>
    <row r="15" spans="1:20" s="93" customFormat="1" ht="13.5" customHeight="1">
      <c r="A15" s="542"/>
      <c r="B15" s="493"/>
      <c r="C15" s="144" t="s">
        <v>704</v>
      </c>
      <c r="D15" s="49">
        <v>754</v>
      </c>
      <c r="E15" s="49">
        <v>754</v>
      </c>
      <c r="F15" s="58">
        <v>0</v>
      </c>
      <c r="G15" s="49">
        <v>29</v>
      </c>
      <c r="H15" s="49">
        <v>0</v>
      </c>
      <c r="I15" s="49">
        <v>84</v>
      </c>
      <c r="J15" s="59">
        <v>360</v>
      </c>
      <c r="K15" s="58">
        <v>182</v>
      </c>
      <c r="L15" s="58">
        <v>77</v>
      </c>
      <c r="M15" s="58">
        <v>40</v>
      </c>
      <c r="N15" s="58">
        <v>11</v>
      </c>
      <c r="O15" s="58">
        <v>0</v>
      </c>
      <c r="P15" s="58">
        <v>0</v>
      </c>
      <c r="Q15" s="58">
        <v>15</v>
      </c>
      <c r="R15" s="58">
        <v>713</v>
      </c>
      <c r="S15" s="58">
        <v>26</v>
      </c>
      <c r="T15" s="62">
        <v>0</v>
      </c>
    </row>
    <row r="16" spans="1:20" s="93" customFormat="1" ht="13.5" customHeight="1">
      <c r="A16" s="542"/>
      <c r="B16" s="491" t="s">
        <v>534</v>
      </c>
      <c r="C16" s="141" t="s">
        <v>702</v>
      </c>
      <c r="D16" s="55">
        <f>SUM(D17:D18)</f>
        <v>2113</v>
      </c>
      <c r="E16" s="55">
        <f>SUM(E17:E18)</f>
        <v>2113</v>
      </c>
      <c r="F16" s="55">
        <f>SUM(F17:F18)</f>
        <v>0</v>
      </c>
      <c r="G16" s="55">
        <f>SUM(G17:G18)/2</f>
        <v>30</v>
      </c>
      <c r="H16" s="55">
        <f aca="true" t="shared" si="3" ref="H16:T16">SUM(H17:H18)</f>
        <v>0</v>
      </c>
      <c r="I16" s="55">
        <f t="shared" si="3"/>
        <v>187</v>
      </c>
      <c r="J16" s="55">
        <f t="shared" si="3"/>
        <v>912</v>
      </c>
      <c r="K16" s="55">
        <f t="shared" si="3"/>
        <v>582</v>
      </c>
      <c r="L16" s="55">
        <f t="shared" si="3"/>
        <v>259</v>
      </c>
      <c r="M16" s="55">
        <f t="shared" si="3"/>
        <v>133</v>
      </c>
      <c r="N16" s="55">
        <f t="shared" si="3"/>
        <v>30</v>
      </c>
      <c r="O16" s="55">
        <f t="shared" si="3"/>
        <v>9</v>
      </c>
      <c r="P16" s="55">
        <f t="shared" si="3"/>
        <v>1</v>
      </c>
      <c r="Q16" s="55">
        <f t="shared" si="3"/>
        <v>123</v>
      </c>
      <c r="R16" s="55">
        <f t="shared" si="3"/>
        <v>1935</v>
      </c>
      <c r="S16" s="55">
        <f t="shared" si="3"/>
        <v>55</v>
      </c>
      <c r="T16" s="55">
        <f t="shared" si="3"/>
        <v>0</v>
      </c>
    </row>
    <row r="17" spans="1:20" s="93" customFormat="1" ht="13.5" customHeight="1">
      <c r="A17" s="538" t="s">
        <v>528</v>
      </c>
      <c r="B17" s="492"/>
      <c r="C17" s="143" t="s">
        <v>703</v>
      </c>
      <c r="D17" s="49">
        <v>1002</v>
      </c>
      <c r="E17" s="49">
        <v>1002</v>
      </c>
      <c r="F17" s="49">
        <v>0</v>
      </c>
      <c r="G17" s="49">
        <v>31</v>
      </c>
      <c r="H17" s="49">
        <v>0</v>
      </c>
      <c r="I17" s="49">
        <v>28</v>
      </c>
      <c r="J17" s="49">
        <v>380</v>
      </c>
      <c r="K17" s="49">
        <v>336</v>
      </c>
      <c r="L17" s="49">
        <v>152</v>
      </c>
      <c r="M17" s="49">
        <v>83</v>
      </c>
      <c r="N17" s="49">
        <v>17</v>
      </c>
      <c r="O17" s="49">
        <v>5</v>
      </c>
      <c r="P17" s="49">
        <v>1</v>
      </c>
      <c r="Q17" s="49">
        <v>65</v>
      </c>
      <c r="R17" s="49">
        <v>907</v>
      </c>
      <c r="S17" s="49">
        <v>30</v>
      </c>
      <c r="T17" s="49">
        <v>0</v>
      </c>
    </row>
    <row r="18" spans="1:20" s="93" customFormat="1" ht="13.5" customHeight="1">
      <c r="A18" s="538"/>
      <c r="B18" s="492"/>
      <c r="C18" s="144" t="s">
        <v>704</v>
      </c>
      <c r="D18" s="49">
        <v>1111</v>
      </c>
      <c r="E18" s="49">
        <v>1111</v>
      </c>
      <c r="F18" s="49">
        <v>0</v>
      </c>
      <c r="G18" s="49">
        <v>29</v>
      </c>
      <c r="H18" s="49">
        <v>0</v>
      </c>
      <c r="I18" s="49">
        <v>159</v>
      </c>
      <c r="J18" s="49">
        <v>532</v>
      </c>
      <c r="K18" s="49">
        <v>246</v>
      </c>
      <c r="L18" s="49">
        <v>107</v>
      </c>
      <c r="M18" s="49">
        <v>50</v>
      </c>
      <c r="N18" s="49">
        <v>13</v>
      </c>
      <c r="O18" s="49">
        <v>4</v>
      </c>
      <c r="P18" s="49">
        <v>0</v>
      </c>
      <c r="Q18" s="49">
        <v>58</v>
      </c>
      <c r="R18" s="49">
        <v>1028</v>
      </c>
      <c r="S18" s="49">
        <v>25</v>
      </c>
      <c r="T18" s="49">
        <v>0</v>
      </c>
    </row>
    <row r="19" spans="1:20" s="93" customFormat="1" ht="13.5" customHeight="1">
      <c r="A19" s="538"/>
      <c r="B19" s="491" t="s">
        <v>535</v>
      </c>
      <c r="C19" s="141" t="s">
        <v>702</v>
      </c>
      <c r="D19" s="55">
        <f>SUM(D20:D21)</f>
        <v>1975</v>
      </c>
      <c r="E19" s="55">
        <f>SUM(E20:E21)</f>
        <v>1975</v>
      </c>
      <c r="F19" s="55">
        <f>SUM(F20:F21)</f>
        <v>0</v>
      </c>
      <c r="G19" s="55">
        <f>SUM(G20:G21)/2</f>
        <v>30</v>
      </c>
      <c r="H19" s="55">
        <f aca="true" t="shared" si="4" ref="H19:T19">SUM(H20:H21)</f>
        <v>0</v>
      </c>
      <c r="I19" s="55">
        <f t="shared" si="4"/>
        <v>175</v>
      </c>
      <c r="J19" s="55">
        <f t="shared" si="4"/>
        <v>930</v>
      </c>
      <c r="K19" s="55">
        <f t="shared" si="4"/>
        <v>503</v>
      </c>
      <c r="L19" s="55">
        <f t="shared" si="4"/>
        <v>239</v>
      </c>
      <c r="M19" s="55">
        <f t="shared" si="4"/>
        <v>88</v>
      </c>
      <c r="N19" s="55">
        <f t="shared" si="4"/>
        <v>27</v>
      </c>
      <c r="O19" s="55">
        <f t="shared" si="4"/>
        <v>9</v>
      </c>
      <c r="P19" s="55">
        <f t="shared" si="4"/>
        <v>4</v>
      </c>
      <c r="Q19" s="55">
        <f t="shared" si="4"/>
        <v>169</v>
      </c>
      <c r="R19" s="55">
        <f t="shared" si="4"/>
        <v>1765</v>
      </c>
      <c r="S19" s="55">
        <f t="shared" si="4"/>
        <v>41</v>
      </c>
      <c r="T19" s="55">
        <f t="shared" si="4"/>
        <v>0</v>
      </c>
    </row>
    <row r="20" spans="1:20" s="93" customFormat="1" ht="13.5" customHeight="1">
      <c r="A20" s="538"/>
      <c r="B20" s="492"/>
      <c r="C20" s="143" t="s">
        <v>703</v>
      </c>
      <c r="D20" s="49">
        <v>913</v>
      </c>
      <c r="E20" s="49">
        <v>913</v>
      </c>
      <c r="F20" s="58">
        <v>0</v>
      </c>
      <c r="G20" s="49">
        <v>31</v>
      </c>
      <c r="H20" s="49">
        <v>0</v>
      </c>
      <c r="I20" s="49">
        <v>21</v>
      </c>
      <c r="J20" s="59">
        <v>409</v>
      </c>
      <c r="K20" s="58">
        <v>277</v>
      </c>
      <c r="L20" s="58">
        <v>132</v>
      </c>
      <c r="M20" s="58">
        <v>45</v>
      </c>
      <c r="N20" s="58">
        <v>18</v>
      </c>
      <c r="O20" s="58">
        <v>7</v>
      </c>
      <c r="P20" s="58">
        <v>4</v>
      </c>
      <c r="Q20" s="58">
        <v>115</v>
      </c>
      <c r="R20" s="58">
        <v>778</v>
      </c>
      <c r="S20" s="58">
        <v>20</v>
      </c>
      <c r="T20" s="58">
        <v>0</v>
      </c>
    </row>
    <row r="21" spans="1:20" s="93" customFormat="1" ht="13.5" customHeight="1">
      <c r="A21" s="538"/>
      <c r="B21" s="492"/>
      <c r="C21" s="144" t="s">
        <v>704</v>
      </c>
      <c r="D21" s="49">
        <v>1062</v>
      </c>
      <c r="E21" s="49">
        <v>1062</v>
      </c>
      <c r="F21" s="58">
        <v>0</v>
      </c>
      <c r="G21" s="49">
        <v>29</v>
      </c>
      <c r="H21" s="49">
        <v>0</v>
      </c>
      <c r="I21" s="49">
        <v>154</v>
      </c>
      <c r="J21" s="59">
        <v>521</v>
      </c>
      <c r="K21" s="58">
        <v>226</v>
      </c>
      <c r="L21" s="58">
        <v>107</v>
      </c>
      <c r="M21" s="58">
        <v>43</v>
      </c>
      <c r="N21" s="58">
        <v>9</v>
      </c>
      <c r="O21" s="58">
        <v>2</v>
      </c>
      <c r="P21" s="58">
        <v>0</v>
      </c>
      <c r="Q21" s="58">
        <v>54</v>
      </c>
      <c r="R21" s="58">
        <v>987</v>
      </c>
      <c r="S21" s="58">
        <v>21</v>
      </c>
      <c r="T21" s="58">
        <v>0</v>
      </c>
    </row>
    <row r="22" spans="1:20" s="93" customFormat="1" ht="13.5" customHeight="1">
      <c r="A22" s="538"/>
      <c r="B22" s="491" t="s">
        <v>536</v>
      </c>
      <c r="C22" s="141" t="s">
        <v>702</v>
      </c>
      <c r="D22" s="55">
        <f>SUM(D23:D24)</f>
        <v>2163</v>
      </c>
      <c r="E22" s="55">
        <f>SUM(E23:E24)</f>
        <v>2163</v>
      </c>
      <c r="F22" s="55">
        <f>SUM(F23:F24)</f>
        <v>0</v>
      </c>
      <c r="G22" s="55">
        <f>SUM(G23:G24)/2</f>
        <v>30</v>
      </c>
      <c r="H22" s="55">
        <f aca="true" t="shared" si="5" ref="H22:T22">SUM(H23:H24)</f>
        <v>0</v>
      </c>
      <c r="I22" s="55">
        <f t="shared" si="5"/>
        <v>182</v>
      </c>
      <c r="J22" s="55">
        <f t="shared" si="5"/>
        <v>1016</v>
      </c>
      <c r="K22" s="55">
        <f t="shared" si="5"/>
        <v>590</v>
      </c>
      <c r="L22" s="55">
        <f t="shared" si="5"/>
        <v>229</v>
      </c>
      <c r="M22" s="55">
        <f t="shared" si="5"/>
        <v>96</v>
      </c>
      <c r="N22" s="55">
        <f t="shared" si="5"/>
        <v>41</v>
      </c>
      <c r="O22" s="55">
        <f t="shared" si="5"/>
        <v>5</v>
      </c>
      <c r="P22" s="55">
        <f t="shared" si="5"/>
        <v>4</v>
      </c>
      <c r="Q22" s="55">
        <f t="shared" si="5"/>
        <v>583</v>
      </c>
      <c r="R22" s="55">
        <f t="shared" si="5"/>
        <v>1520</v>
      </c>
      <c r="S22" s="55">
        <f t="shared" si="5"/>
        <v>59</v>
      </c>
      <c r="T22" s="55">
        <f t="shared" si="5"/>
        <v>1</v>
      </c>
    </row>
    <row r="23" spans="1:20" s="93" customFormat="1" ht="13.5" customHeight="1">
      <c r="A23" s="538"/>
      <c r="B23" s="492"/>
      <c r="C23" s="143" t="s">
        <v>703</v>
      </c>
      <c r="D23" s="49">
        <v>999</v>
      </c>
      <c r="E23" s="49">
        <v>999</v>
      </c>
      <c r="F23" s="58">
        <v>0</v>
      </c>
      <c r="G23" s="49">
        <v>31</v>
      </c>
      <c r="H23" s="49">
        <v>0</v>
      </c>
      <c r="I23" s="49">
        <v>26</v>
      </c>
      <c r="J23" s="59">
        <v>435</v>
      </c>
      <c r="K23" s="58">
        <v>336</v>
      </c>
      <c r="L23" s="58">
        <v>113</v>
      </c>
      <c r="M23" s="58">
        <v>56</v>
      </c>
      <c r="N23" s="58">
        <v>27</v>
      </c>
      <c r="O23" s="58">
        <v>3</v>
      </c>
      <c r="P23" s="58">
        <v>3</v>
      </c>
      <c r="Q23" s="58">
        <v>379</v>
      </c>
      <c r="R23" s="58">
        <v>596</v>
      </c>
      <c r="S23" s="58">
        <v>23</v>
      </c>
      <c r="T23" s="58">
        <v>1</v>
      </c>
    </row>
    <row r="24" spans="1:20" s="93" customFormat="1" ht="13.5" customHeight="1">
      <c r="A24" s="538"/>
      <c r="B24" s="493"/>
      <c r="C24" s="144" t="s">
        <v>704</v>
      </c>
      <c r="D24" s="49">
        <v>1164</v>
      </c>
      <c r="E24" s="49">
        <v>1164</v>
      </c>
      <c r="F24" s="58">
        <v>0</v>
      </c>
      <c r="G24" s="49">
        <v>29</v>
      </c>
      <c r="H24" s="49">
        <v>0</v>
      </c>
      <c r="I24" s="49">
        <v>156</v>
      </c>
      <c r="J24" s="59">
        <v>581</v>
      </c>
      <c r="K24" s="58">
        <v>254</v>
      </c>
      <c r="L24" s="58">
        <v>116</v>
      </c>
      <c r="M24" s="58">
        <v>40</v>
      </c>
      <c r="N24" s="58">
        <v>14</v>
      </c>
      <c r="O24" s="58">
        <v>2</v>
      </c>
      <c r="P24" s="58">
        <v>1</v>
      </c>
      <c r="Q24" s="58">
        <v>204</v>
      </c>
      <c r="R24" s="58">
        <v>924</v>
      </c>
      <c r="S24" s="58">
        <v>36</v>
      </c>
      <c r="T24" s="58">
        <v>0</v>
      </c>
    </row>
    <row r="25" spans="1:20" s="93" customFormat="1" ht="13.5" customHeight="1">
      <c r="A25" s="538"/>
      <c r="B25" s="494" t="s">
        <v>537</v>
      </c>
      <c r="C25" s="141" t="s">
        <v>702</v>
      </c>
      <c r="D25" s="55">
        <f>SUM(D26:D27)</f>
        <v>2110</v>
      </c>
      <c r="E25" s="55">
        <f>SUM(E26:E27)</f>
        <v>2110</v>
      </c>
      <c r="F25" s="55">
        <f>SUM(F26:F27)</f>
        <v>0</v>
      </c>
      <c r="G25" s="55">
        <f>SUM(G26:G27)/2</f>
        <v>30</v>
      </c>
      <c r="H25" s="55">
        <f aca="true" t="shared" si="6" ref="H25:T25">SUM(H26:H27)</f>
        <v>0</v>
      </c>
      <c r="I25" s="55">
        <f t="shared" si="6"/>
        <v>181</v>
      </c>
      <c r="J25" s="55">
        <f t="shared" si="6"/>
        <v>971</v>
      </c>
      <c r="K25" s="55">
        <f t="shared" si="6"/>
        <v>596</v>
      </c>
      <c r="L25" s="55">
        <f t="shared" si="6"/>
        <v>225</v>
      </c>
      <c r="M25" s="55">
        <f t="shared" si="6"/>
        <v>84</v>
      </c>
      <c r="N25" s="55">
        <f t="shared" si="6"/>
        <v>39</v>
      </c>
      <c r="O25" s="55">
        <f t="shared" si="6"/>
        <v>12</v>
      </c>
      <c r="P25" s="55">
        <f t="shared" si="6"/>
        <v>2</v>
      </c>
      <c r="Q25" s="55">
        <f t="shared" si="6"/>
        <v>587</v>
      </c>
      <c r="R25" s="55">
        <f t="shared" si="6"/>
        <v>1468</v>
      </c>
      <c r="S25" s="55">
        <f t="shared" si="6"/>
        <v>54</v>
      </c>
      <c r="T25" s="55">
        <f t="shared" si="6"/>
        <v>1</v>
      </c>
    </row>
    <row r="26" spans="1:20" s="93" customFormat="1" ht="13.5" customHeight="1">
      <c r="A26" s="538"/>
      <c r="B26" s="494"/>
      <c r="C26" s="143" t="s">
        <v>703</v>
      </c>
      <c r="D26" s="49">
        <v>939</v>
      </c>
      <c r="E26" s="49">
        <v>939</v>
      </c>
      <c r="F26" s="58">
        <v>0</v>
      </c>
      <c r="G26" s="49">
        <v>31</v>
      </c>
      <c r="H26" s="49">
        <v>0</v>
      </c>
      <c r="I26" s="49">
        <v>34</v>
      </c>
      <c r="J26" s="59">
        <v>379</v>
      </c>
      <c r="K26" s="58">
        <v>319</v>
      </c>
      <c r="L26" s="58">
        <v>128</v>
      </c>
      <c r="M26" s="58">
        <v>45</v>
      </c>
      <c r="N26" s="58">
        <v>24</v>
      </c>
      <c r="O26" s="58">
        <v>8</v>
      </c>
      <c r="P26" s="58">
        <v>2</v>
      </c>
      <c r="Q26" s="58">
        <v>338</v>
      </c>
      <c r="R26" s="58">
        <v>573</v>
      </c>
      <c r="S26" s="58">
        <v>28</v>
      </c>
      <c r="T26" s="62">
        <v>0</v>
      </c>
    </row>
    <row r="27" spans="1:20" s="93" customFormat="1" ht="13.5" customHeight="1">
      <c r="A27" s="538"/>
      <c r="B27" s="507"/>
      <c r="C27" s="143" t="s">
        <v>704</v>
      </c>
      <c r="D27" s="49">
        <v>1171</v>
      </c>
      <c r="E27" s="49">
        <v>1171</v>
      </c>
      <c r="F27" s="58">
        <v>0</v>
      </c>
      <c r="G27" s="49">
        <v>29</v>
      </c>
      <c r="H27" s="49">
        <v>0</v>
      </c>
      <c r="I27" s="49">
        <v>147</v>
      </c>
      <c r="J27" s="59">
        <v>592</v>
      </c>
      <c r="K27" s="58">
        <v>277</v>
      </c>
      <c r="L27" s="58">
        <v>97</v>
      </c>
      <c r="M27" s="58">
        <v>39</v>
      </c>
      <c r="N27" s="58">
        <v>15</v>
      </c>
      <c r="O27" s="58">
        <v>4</v>
      </c>
      <c r="P27" s="58">
        <v>0</v>
      </c>
      <c r="Q27" s="58">
        <v>249</v>
      </c>
      <c r="R27" s="58">
        <v>895</v>
      </c>
      <c r="S27" s="58">
        <v>26</v>
      </c>
      <c r="T27" s="62">
        <v>1</v>
      </c>
    </row>
    <row r="28" spans="1:20" s="93" customFormat="1" ht="13.5" customHeight="1">
      <c r="A28" s="543" t="s">
        <v>538</v>
      </c>
      <c r="B28" s="534" t="s">
        <v>518</v>
      </c>
      <c r="C28" s="141" t="s">
        <v>702</v>
      </c>
      <c r="D28" s="56">
        <f>SUM(D31,D34)</f>
        <v>3</v>
      </c>
      <c r="E28" s="56">
        <f>SUM(E31,E34)</f>
        <v>3</v>
      </c>
      <c r="F28" s="56">
        <f>SUM(F31,F34)</f>
        <v>0</v>
      </c>
      <c r="G28" s="56">
        <f>SUM(G31,G34)/2</f>
        <v>36.5</v>
      </c>
      <c r="H28" s="56">
        <f aca="true" t="shared" si="7" ref="H28:T28">SUM(H31,H34)</f>
        <v>0</v>
      </c>
      <c r="I28" s="56">
        <f t="shared" si="7"/>
        <v>0</v>
      </c>
      <c r="J28" s="56">
        <f t="shared" si="7"/>
        <v>0</v>
      </c>
      <c r="K28" s="56">
        <f t="shared" si="7"/>
        <v>1</v>
      </c>
      <c r="L28" s="56">
        <f t="shared" si="7"/>
        <v>2</v>
      </c>
      <c r="M28" s="56">
        <f t="shared" si="7"/>
        <v>0</v>
      </c>
      <c r="N28" s="56">
        <f t="shared" si="7"/>
        <v>0</v>
      </c>
      <c r="O28" s="56">
        <f t="shared" si="7"/>
        <v>0</v>
      </c>
      <c r="P28" s="56">
        <f t="shared" si="7"/>
        <v>0</v>
      </c>
      <c r="Q28" s="56">
        <f t="shared" si="7"/>
        <v>0</v>
      </c>
      <c r="R28" s="56">
        <f t="shared" si="7"/>
        <v>1</v>
      </c>
      <c r="S28" s="56">
        <f t="shared" si="7"/>
        <v>0</v>
      </c>
      <c r="T28" s="56">
        <f t="shared" si="7"/>
        <v>0</v>
      </c>
    </row>
    <row r="29" spans="1:21" s="93" customFormat="1" ht="13.5" customHeight="1">
      <c r="A29" s="544"/>
      <c r="B29" s="516"/>
      <c r="C29" s="143" t="s">
        <v>703</v>
      </c>
      <c r="D29" s="49">
        <v>2</v>
      </c>
      <c r="E29" s="49">
        <v>2</v>
      </c>
      <c r="F29" s="58">
        <v>0</v>
      </c>
      <c r="G29" s="49">
        <v>35</v>
      </c>
      <c r="H29" s="49">
        <v>0</v>
      </c>
      <c r="I29" s="49">
        <v>0</v>
      </c>
      <c r="J29" s="59">
        <v>0</v>
      </c>
      <c r="K29" s="58">
        <v>1</v>
      </c>
      <c r="L29" s="58">
        <v>1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1</v>
      </c>
      <c r="S29" s="58">
        <v>0</v>
      </c>
      <c r="T29" s="62">
        <v>0</v>
      </c>
      <c r="U29" s="94"/>
    </row>
    <row r="30" spans="1:21" s="93" customFormat="1" ht="13.5" customHeight="1">
      <c r="A30" s="544"/>
      <c r="B30" s="517"/>
      <c r="C30" s="144" t="s">
        <v>704</v>
      </c>
      <c r="D30" s="49">
        <v>1</v>
      </c>
      <c r="E30" s="49">
        <v>1</v>
      </c>
      <c r="F30" s="58">
        <v>0</v>
      </c>
      <c r="G30" s="49">
        <v>38</v>
      </c>
      <c r="H30" s="49">
        <v>0</v>
      </c>
      <c r="I30" s="49">
        <v>0</v>
      </c>
      <c r="J30" s="59">
        <v>0</v>
      </c>
      <c r="K30" s="58">
        <v>0</v>
      </c>
      <c r="L30" s="58">
        <v>1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62">
        <v>0</v>
      </c>
      <c r="U30" s="94"/>
    </row>
    <row r="31" spans="1:20" s="93" customFormat="1" ht="13.5" customHeight="1">
      <c r="A31" s="544"/>
      <c r="B31" s="507" t="s">
        <v>520</v>
      </c>
      <c r="C31" s="141" t="s">
        <v>702</v>
      </c>
      <c r="D31" s="55">
        <f>SUM(D32:D33)</f>
        <v>2</v>
      </c>
      <c r="E31" s="55">
        <f>SUM(E32:E33)</f>
        <v>2</v>
      </c>
      <c r="F31" s="55">
        <f>SUM(F32:F33)</f>
        <v>0</v>
      </c>
      <c r="G31" s="55">
        <f>SUM(G32:G33)/2</f>
        <v>36</v>
      </c>
      <c r="H31" s="55">
        <f aca="true" t="shared" si="8" ref="H31:T31">SUM(H32:H33)</f>
        <v>0</v>
      </c>
      <c r="I31" s="55">
        <f t="shared" si="8"/>
        <v>0</v>
      </c>
      <c r="J31" s="55">
        <f t="shared" si="8"/>
        <v>0</v>
      </c>
      <c r="K31" s="55">
        <f t="shared" si="8"/>
        <v>1</v>
      </c>
      <c r="L31" s="55">
        <f t="shared" si="8"/>
        <v>1</v>
      </c>
      <c r="M31" s="55">
        <f t="shared" si="8"/>
        <v>0</v>
      </c>
      <c r="N31" s="55">
        <f t="shared" si="8"/>
        <v>0</v>
      </c>
      <c r="O31" s="55">
        <f t="shared" si="8"/>
        <v>0</v>
      </c>
      <c r="P31" s="55">
        <f t="shared" si="8"/>
        <v>0</v>
      </c>
      <c r="Q31" s="55">
        <f t="shared" si="8"/>
        <v>0</v>
      </c>
      <c r="R31" s="55">
        <f t="shared" si="8"/>
        <v>0</v>
      </c>
      <c r="S31" s="55">
        <f t="shared" si="8"/>
        <v>0</v>
      </c>
      <c r="T31" s="55">
        <f t="shared" si="8"/>
        <v>0</v>
      </c>
    </row>
    <row r="32" spans="1:21" s="93" customFormat="1" ht="13.5" customHeight="1">
      <c r="A32" s="544"/>
      <c r="B32" s="516"/>
      <c r="C32" s="143" t="s">
        <v>703</v>
      </c>
      <c r="D32" s="49">
        <v>1</v>
      </c>
      <c r="E32" s="49">
        <v>1</v>
      </c>
      <c r="F32" s="49">
        <v>0</v>
      </c>
      <c r="G32" s="49">
        <v>34</v>
      </c>
      <c r="H32" s="49">
        <v>0</v>
      </c>
      <c r="I32" s="49">
        <v>0</v>
      </c>
      <c r="J32" s="49">
        <v>0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94"/>
    </row>
    <row r="33" spans="1:21" s="93" customFormat="1" ht="13.5" customHeight="1">
      <c r="A33" s="544"/>
      <c r="B33" s="517"/>
      <c r="C33" s="144" t="s">
        <v>704</v>
      </c>
      <c r="D33" s="49">
        <v>1</v>
      </c>
      <c r="E33" s="49">
        <v>1</v>
      </c>
      <c r="F33" s="49">
        <v>0</v>
      </c>
      <c r="G33" s="49">
        <v>38</v>
      </c>
      <c r="H33" s="49">
        <v>0</v>
      </c>
      <c r="I33" s="49">
        <v>0</v>
      </c>
      <c r="J33" s="49">
        <v>0</v>
      </c>
      <c r="K33" s="49">
        <v>0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94"/>
    </row>
    <row r="34" spans="1:21" s="93" customFormat="1" ht="13.5" customHeight="1">
      <c r="A34" s="538" t="s">
        <v>539</v>
      </c>
      <c r="B34" s="491" t="s">
        <v>522</v>
      </c>
      <c r="C34" s="141" t="s">
        <v>702</v>
      </c>
      <c r="D34" s="55">
        <f>SUM(D35:D36)</f>
        <v>1</v>
      </c>
      <c r="E34" s="55">
        <f>SUM(E35:E36)</f>
        <v>1</v>
      </c>
      <c r="F34" s="55">
        <f>SUM(F35:F36)</f>
        <v>0</v>
      </c>
      <c r="G34" s="55">
        <f>SUM(G35:G36)/1</f>
        <v>37</v>
      </c>
      <c r="H34" s="55">
        <f aca="true" t="shared" si="9" ref="H34:T34">SUM(H35:H36)</f>
        <v>0</v>
      </c>
      <c r="I34" s="55">
        <f t="shared" si="9"/>
        <v>0</v>
      </c>
      <c r="J34" s="55">
        <f t="shared" si="9"/>
        <v>0</v>
      </c>
      <c r="K34" s="55">
        <f t="shared" si="9"/>
        <v>0</v>
      </c>
      <c r="L34" s="55">
        <f t="shared" si="9"/>
        <v>1</v>
      </c>
      <c r="M34" s="55">
        <f t="shared" si="9"/>
        <v>0</v>
      </c>
      <c r="N34" s="55">
        <f t="shared" si="9"/>
        <v>0</v>
      </c>
      <c r="O34" s="55">
        <f t="shared" si="9"/>
        <v>0</v>
      </c>
      <c r="P34" s="55">
        <f t="shared" si="9"/>
        <v>0</v>
      </c>
      <c r="Q34" s="55">
        <f t="shared" si="9"/>
        <v>0</v>
      </c>
      <c r="R34" s="55">
        <f t="shared" si="9"/>
        <v>1</v>
      </c>
      <c r="S34" s="55">
        <f t="shared" si="9"/>
        <v>0</v>
      </c>
      <c r="T34" s="55">
        <f t="shared" si="9"/>
        <v>0</v>
      </c>
      <c r="U34" s="94"/>
    </row>
    <row r="35" spans="1:21" s="93" customFormat="1" ht="13.5" customHeight="1">
      <c r="A35" s="538"/>
      <c r="B35" s="492"/>
      <c r="C35" s="143" t="s">
        <v>703</v>
      </c>
      <c r="D35" s="49">
        <v>1</v>
      </c>
      <c r="E35" s="49">
        <v>1</v>
      </c>
      <c r="F35" s="59">
        <v>0</v>
      </c>
      <c r="G35" s="58">
        <v>37</v>
      </c>
      <c r="H35" s="58">
        <v>0</v>
      </c>
      <c r="I35" s="58">
        <v>0</v>
      </c>
      <c r="J35" s="58">
        <v>0</v>
      </c>
      <c r="K35" s="58">
        <v>0</v>
      </c>
      <c r="L35" s="58">
        <v>1</v>
      </c>
      <c r="M35" s="58">
        <v>0</v>
      </c>
      <c r="N35" s="58">
        <v>0</v>
      </c>
      <c r="O35" s="58">
        <v>0</v>
      </c>
      <c r="P35" s="59">
        <v>0</v>
      </c>
      <c r="Q35" s="59">
        <v>0</v>
      </c>
      <c r="R35" s="59">
        <v>1</v>
      </c>
      <c r="S35" s="59">
        <v>0</v>
      </c>
      <c r="T35" s="49">
        <v>0</v>
      </c>
      <c r="U35" s="94"/>
    </row>
    <row r="36" spans="1:21" s="93" customFormat="1" ht="13.5" customHeight="1">
      <c r="A36" s="538"/>
      <c r="B36" s="492"/>
      <c r="C36" s="143" t="s">
        <v>704</v>
      </c>
      <c r="D36" s="49">
        <v>0</v>
      </c>
      <c r="E36" s="49">
        <v>0</v>
      </c>
      <c r="F36" s="59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9">
        <v>0</v>
      </c>
      <c r="Q36" s="59">
        <v>0</v>
      </c>
      <c r="R36" s="59">
        <v>0</v>
      </c>
      <c r="S36" s="59">
        <v>0</v>
      </c>
      <c r="T36" s="49">
        <v>0</v>
      </c>
      <c r="U36" s="94"/>
    </row>
    <row r="37" spans="1:20" s="85" customFormat="1" ht="13.5" customHeight="1">
      <c r="A37" s="538"/>
      <c r="B37" s="491" t="s">
        <v>182</v>
      </c>
      <c r="C37" s="141" t="s">
        <v>687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</row>
    <row r="38" spans="1:20" s="85" customFormat="1" ht="13.5" customHeight="1">
      <c r="A38" s="538"/>
      <c r="B38" s="492"/>
      <c r="C38" s="143" t="s">
        <v>688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</row>
    <row r="39" spans="1:20" s="85" customFormat="1" ht="13.5" customHeight="1">
      <c r="A39" s="545"/>
      <c r="B39" s="492"/>
      <c r="C39" s="143" t="s">
        <v>689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</row>
    <row r="40" spans="1:20" s="85" customFormat="1" ht="13.5" customHeight="1">
      <c r="A40" s="541" t="s">
        <v>540</v>
      </c>
      <c r="B40" s="536" t="s">
        <v>518</v>
      </c>
      <c r="C40" s="141" t="s">
        <v>702</v>
      </c>
      <c r="D40" s="56">
        <f>SUM(D43,D46,D49)+SUM('表32(續2)'!D7,'表32(續2)'!D10,'表32(續2)'!D13,'表32(續2)'!D16,'表32(續2)'!D19,'表32(續2)'!D22,'表32(續2)'!D25)</f>
        <v>10153</v>
      </c>
      <c r="E40" s="56">
        <f>SUM(E43,E46,E49)+SUM('表32(續2)'!E7,'表32(續2)'!E10,'表32(續2)'!E13,'表32(續2)'!E16,'表32(續2)'!E19,'表32(續2)'!E22,'表32(續2)'!E25)</f>
        <v>10145</v>
      </c>
      <c r="F40" s="56">
        <f>SUM(F43,F46,F49)+SUM('表32(續2)'!F7,'表32(續2)'!F10,'表32(續2)'!F13,'表32(續2)'!F16,'表32(續2)'!F19,'表32(續2)'!F22,'表32(續2)'!F25)</f>
        <v>8</v>
      </c>
      <c r="G40" s="56">
        <f>(SUM(G43,G46,G49)+SUM('表32(續2)'!G7,'表32(續2)'!G10,'表32(續2)'!G13,'表32(續2)'!G16,'表32(續2)'!G19,'表32(續2)'!G22,'表32(續2)'!G25))/10</f>
        <v>29.6</v>
      </c>
      <c r="H40" s="56">
        <f>SUM(H43,H46,H49)+SUM('表32(續2)'!H7,'表32(續2)'!H10,'表32(續2)'!H13,'表32(續2)'!H16,'表32(續2)'!H19,'表32(續2)'!H22,'表32(續2)'!H25)</f>
        <v>1</v>
      </c>
      <c r="I40" s="56">
        <f>SUM(I43,I46,I49)+SUM('表32(續2)'!I7,'表32(續2)'!I10,'表32(續2)'!I13,'表32(續2)'!I16,'表32(續2)'!I19,'表32(續2)'!I22,'表32(續2)'!I25)</f>
        <v>852</v>
      </c>
      <c r="J40" s="56">
        <f>SUM(J43,J46,J49)+SUM('表32(續2)'!J7,'表32(續2)'!J10,'表32(續2)'!J13,'表32(續2)'!J16,'表32(續2)'!J19,'表32(續2)'!J22,'表32(續2)'!J25)</f>
        <v>4462</v>
      </c>
      <c r="K40" s="56">
        <f>SUM(K43,K46,K49)+SUM('表32(續2)'!K7,'表32(續2)'!K10,'表32(續2)'!K13,'表32(續2)'!K16,'表32(續2)'!K19,'表32(續2)'!K22,'表32(續2)'!K25)</f>
        <v>2925</v>
      </c>
      <c r="L40" s="56">
        <f>SUM(L43,L46,L49)+SUM('表32(續2)'!L7,'表32(續2)'!L10,'表32(續2)'!L13,'表32(續2)'!L16,'表32(續2)'!L19,'表32(續2)'!L22,'表32(續2)'!L25)</f>
        <v>1438</v>
      </c>
      <c r="M40" s="56">
        <f>SUM(M43,M46,M49)+SUM('表32(續2)'!M7,'表32(續2)'!M10,'表32(續2)'!M13,'表32(續2)'!M16,'表32(續2)'!M19,'表32(續2)'!M22,'表32(續2)'!M25)</f>
        <v>374</v>
      </c>
      <c r="N40" s="56">
        <f>SUM(N43,N46,N49)+SUM('表32(續2)'!N7,'表32(續2)'!N10,'表32(續2)'!N13,'表32(續2)'!N16,'表32(續2)'!N19,'表32(續2)'!N22,'表32(續2)'!N25)</f>
        <v>83</v>
      </c>
      <c r="O40" s="56">
        <f>SUM(O43,O46,O49)+SUM('表32(續2)'!O7,'表32(續2)'!O10,'表32(續2)'!O13,'表32(續2)'!O16,'表32(續2)'!O19,'表32(續2)'!O22,'表32(續2)'!O25)</f>
        <v>14</v>
      </c>
      <c r="P40" s="56">
        <f>SUM(P43,P46,P49)+SUM('表32(續2)'!P7,'表32(續2)'!P10,'表32(續2)'!P13,'表32(續2)'!P16,'表32(續2)'!P19,'表32(續2)'!P22,'表32(續2)'!P25)</f>
        <v>3</v>
      </c>
      <c r="Q40" s="56">
        <f>SUM(Q43,Q46,Q49)+SUM('表32(續2)'!Q7,'表32(續2)'!Q10,'表32(續2)'!Q13,'表32(續2)'!Q16,'表32(續2)'!Q19,'表32(續2)'!Q22,'表32(續2)'!Q25)</f>
        <v>326</v>
      </c>
      <c r="R40" s="56">
        <f>SUM(R43,R46,R49)+SUM('表32(續2)'!R7,'表32(續2)'!R10,'表32(續2)'!R13,'表32(續2)'!R16,'表32(續2)'!R19,'表32(續2)'!R22,'表32(續2)'!R25)</f>
        <v>7622</v>
      </c>
      <c r="S40" s="56">
        <f>SUM(S43,S46,S49)+SUM('表32(續2)'!S7,'表32(續2)'!S10,'表32(續2)'!S13,'表32(續2)'!S16,'表32(續2)'!S19,'表32(續2)'!S22,'表32(續2)'!S25)</f>
        <v>691</v>
      </c>
      <c r="T40" s="56">
        <f>SUM(T43,T46,T49)+SUM('表32(續2)'!T7,'表32(續2)'!T10,'表32(續2)'!T13,'表32(續2)'!T16,'表32(續2)'!T19,'表32(續2)'!T22,'表32(續2)'!T25)</f>
        <v>1</v>
      </c>
    </row>
    <row r="41" spans="1:20" s="85" customFormat="1" ht="13.5" customHeight="1">
      <c r="A41" s="542"/>
      <c r="B41" s="492"/>
      <c r="C41" s="143" t="s">
        <v>703</v>
      </c>
      <c r="D41" s="10">
        <f>SUM(D44,D47,D50)+SUM('表32(續2)'!D8,'表32(續2)'!D11,'表32(續2)'!D14,'表32(續2)'!D17,'表32(續2)'!D20,'表32(續2)'!D23,'表32(續2)'!D26)</f>
        <v>5678</v>
      </c>
      <c r="E41" s="10">
        <f>SUM(E44,E47,E50)+SUM('表32(續2)'!E8,'表32(續2)'!E11,'表32(續2)'!E14,'表32(續2)'!E17,'表32(續2)'!E20,'表32(續2)'!E23,'表32(續2)'!E26)</f>
        <v>5672</v>
      </c>
      <c r="F41" s="10">
        <f>SUM(F44,F47,F50)+SUM('表32(續2)'!F8,'表32(續2)'!F11,'表32(續2)'!F14,'表32(續2)'!F17,'表32(續2)'!F20,'表32(續2)'!F23,'表32(續2)'!F26)</f>
        <v>6</v>
      </c>
      <c r="G41" s="10">
        <f>(SUM(G44,G47,G50)+SUM('表32(續2)'!G8,'表32(續2)'!G11,'表32(續2)'!G14,'表32(續2)'!G17,'表32(續2)'!G20,'表32(續2)'!G23,'表32(續2)'!G26))/10</f>
        <v>30.9</v>
      </c>
      <c r="H41" s="10">
        <f>SUM(H44,H47,H50)+SUM('表32(續2)'!H8,'表32(續2)'!H11,'表32(續2)'!H14,'表32(續2)'!H17,'表32(續2)'!H20,'表32(續2)'!H23,'表32(續2)'!H26)</f>
        <v>0</v>
      </c>
      <c r="I41" s="10">
        <f>SUM(I44,I47,I50)+SUM('表32(續2)'!I8,'表32(續2)'!I11,'表32(續2)'!I14,'表32(續2)'!I17,'表32(續2)'!I20,'表32(續2)'!I23,'表32(續2)'!I26)</f>
        <v>272</v>
      </c>
      <c r="J41" s="10">
        <f>SUM(J44,J47,J50)+SUM('表32(續2)'!J8,'表32(續2)'!J11,'表32(續2)'!J14,'表32(續2)'!J17,'表32(續2)'!J20,'表32(續2)'!J23,'表32(續2)'!J26)</f>
        <v>2138</v>
      </c>
      <c r="K41" s="10">
        <f>SUM(K44,K47,K50)+SUM('表32(續2)'!K8,'表32(續2)'!K11,'表32(續2)'!K14,'表32(續2)'!K17,'表32(續2)'!K20,'表32(續2)'!K23,'表32(續2)'!K26)</f>
        <v>1879</v>
      </c>
      <c r="L41" s="10">
        <f>SUM(L44,L47,L50)+SUM('表32(續2)'!L8,'表32(續2)'!L11,'表32(續2)'!L14,'表32(續2)'!L17,'表32(續2)'!L20,'表32(續2)'!L23,'表32(續2)'!L26)</f>
        <v>1055</v>
      </c>
      <c r="M41" s="10">
        <f>SUM(M44,M47,M50)+SUM('表32(續2)'!M8,'表32(續2)'!M11,'表32(續2)'!M14,'表32(續2)'!M17,'表32(續2)'!M20,'表32(續2)'!M23,'表32(續2)'!M26)</f>
        <v>263</v>
      </c>
      <c r="N41" s="10">
        <f>SUM(N44,N47,N50)+SUM('表32(續2)'!N8,'表32(續2)'!N11,'表32(續2)'!N14,'表32(續2)'!N17,'表32(續2)'!N20,'表32(續2)'!N23,'表32(續2)'!N26)</f>
        <v>57</v>
      </c>
      <c r="O41" s="10">
        <f>SUM(O44,O47,O50)+SUM('表32(續2)'!O8,'表32(續2)'!O11,'表32(續2)'!O14,'表32(續2)'!O17,'表32(續2)'!O20,'表32(續2)'!O23,'表32(續2)'!O26)</f>
        <v>10</v>
      </c>
      <c r="P41" s="10">
        <f>SUM(P44,P47,P50)+SUM('表32(續2)'!P8,'表32(續2)'!P11,'表32(續2)'!P14,'表32(續2)'!P17,'表32(續2)'!P20,'表32(續2)'!P23,'表32(續2)'!P26)</f>
        <v>3</v>
      </c>
      <c r="Q41" s="10">
        <f>SUM(Q44,Q47,Q50)+SUM('表32(續2)'!Q8,'表32(續2)'!Q11,'表32(續2)'!Q14,'表32(續2)'!Q17,'表32(續2)'!Q20,'表32(續2)'!Q23,'表32(續2)'!Q26)</f>
        <v>222</v>
      </c>
      <c r="R41" s="10">
        <f>SUM(R44,R47,R50)+SUM('表32(續2)'!R8,'表32(續2)'!R11,'表32(續2)'!R14,'表32(續2)'!R17,'表32(續2)'!R20,'表32(續2)'!R23,'表32(續2)'!R26)</f>
        <v>3966</v>
      </c>
      <c r="S41" s="10">
        <f>SUM(S44,S47,S50)+SUM('表32(續2)'!S8,'表32(續2)'!S11,'表32(續2)'!S14,'表32(續2)'!S17,'表32(續2)'!S20,'表32(續2)'!S23,'表32(續2)'!S26)</f>
        <v>460</v>
      </c>
      <c r="T41" s="10">
        <f>SUM(T44,T47,T50)+SUM('表32(續2)'!T8,'表32(續2)'!T11,'表32(續2)'!T14,'表32(續2)'!T17,'表32(續2)'!T20,'表32(續2)'!T23,'表32(續2)'!T26)</f>
        <v>1</v>
      </c>
    </row>
    <row r="42" spans="1:20" s="85" customFormat="1" ht="13.5" customHeight="1">
      <c r="A42" s="542"/>
      <c r="B42" s="492"/>
      <c r="C42" s="144" t="s">
        <v>704</v>
      </c>
      <c r="D42" s="10">
        <f>SUM(D45,D48,D51)+SUM('表32(續2)'!D9,'表32(續2)'!D12,'表32(續2)'!D15,'表32(續2)'!D18,'表32(續2)'!D21,'表32(續2)'!D24,'表32(續2)'!D27)</f>
        <v>4475</v>
      </c>
      <c r="E42" s="10">
        <f>SUM(E45,E48,E51)+SUM('表32(續2)'!E9,'表32(續2)'!E12,'表32(續2)'!E15,'表32(續2)'!E18,'表32(續2)'!E21,'表32(續2)'!E24,'表32(續2)'!E27)</f>
        <v>4473</v>
      </c>
      <c r="F42" s="10">
        <f>SUM(F45,F48,F51)+SUM('表32(續2)'!F9,'表32(續2)'!F12,'表32(續2)'!F15,'表32(續2)'!F18,'表32(續2)'!F21,'表32(續2)'!F24,'表32(續2)'!F27)</f>
        <v>2</v>
      </c>
      <c r="G42" s="10">
        <v>29</v>
      </c>
      <c r="H42" s="10">
        <f>SUM(H45,H48,H51)+SUM('表32(續2)'!H9,'表32(續2)'!H12,'表32(續2)'!H15,'表32(續2)'!H18,'表32(續2)'!H21,'表32(續2)'!H24,'表32(續2)'!H27)</f>
        <v>1</v>
      </c>
      <c r="I42" s="10">
        <f>SUM(I45,I48,I51)+SUM('表32(續2)'!I9,'表32(續2)'!I12,'表32(續2)'!I15,'表32(續2)'!I18,'表32(續2)'!I21,'表32(續2)'!I24,'表32(續2)'!I27)</f>
        <v>580</v>
      </c>
      <c r="J42" s="10">
        <f>SUM(J45,J48,J51)+SUM('表32(續2)'!J9,'表32(續2)'!J12,'表32(續2)'!J15,'表32(續2)'!J18,'表32(續2)'!J21,'表32(續2)'!J24,'表32(續2)'!J27)</f>
        <v>2324</v>
      </c>
      <c r="K42" s="10">
        <f>SUM(K45,K48,K51)+SUM('表32(續2)'!K9,'表32(續2)'!K12,'表32(續2)'!K15,'表32(續2)'!K18,'表32(續2)'!K21,'表32(續2)'!K24,'表32(續2)'!K27)</f>
        <v>1046</v>
      </c>
      <c r="L42" s="10">
        <f>SUM(L45,L48,L51)+SUM('表32(續2)'!L9,'表32(續2)'!L12,'表32(續2)'!L15,'表32(續2)'!L18,'表32(續2)'!L21,'表32(續2)'!L24,'表32(續2)'!L27)</f>
        <v>383</v>
      </c>
      <c r="M42" s="10">
        <f>SUM(M45,M48,M51)+SUM('表32(續2)'!M9,'表32(續2)'!M12,'表32(續2)'!M15,'表32(續2)'!M18,'表32(續2)'!M21,'表32(續2)'!M24,'表32(續2)'!M27)</f>
        <v>111</v>
      </c>
      <c r="N42" s="10">
        <f>SUM(N45,N48,N51)+SUM('表32(續2)'!N9,'表32(續2)'!N12,'表32(續2)'!N15,'表32(續2)'!N18,'表32(續2)'!N21,'表32(續2)'!N24,'表32(續2)'!N27)</f>
        <v>26</v>
      </c>
      <c r="O42" s="10">
        <f>SUM(O45,O48,O51)+SUM('表32(續2)'!O9,'表32(續2)'!O12,'表32(續2)'!O15,'表32(續2)'!O18,'表32(續2)'!O21,'表32(續2)'!O24,'表32(續2)'!O27)</f>
        <v>4</v>
      </c>
      <c r="P42" s="10">
        <f>SUM(P45,P48,P51)+SUM('表32(續2)'!P9,'表32(續2)'!P12,'表32(續2)'!P15,'表32(續2)'!P18,'表32(續2)'!P21,'表32(續2)'!P24,'表32(續2)'!P27)</f>
        <v>0</v>
      </c>
      <c r="Q42" s="10">
        <f>SUM(Q45,Q48,Q51)+SUM('表32(續2)'!Q9,'表32(續2)'!Q12,'表32(續2)'!Q15,'表32(續2)'!Q18,'表32(續2)'!Q21,'表32(續2)'!Q24,'表32(續2)'!Q27)</f>
        <v>104</v>
      </c>
      <c r="R42" s="10">
        <f>SUM(R45,R48,R51)+SUM('表32(續2)'!R9,'表32(續2)'!R12,'表32(續2)'!R15,'表32(續2)'!R18,'表32(續2)'!R21,'表32(續2)'!R24,'表32(續2)'!R27)</f>
        <v>3656</v>
      </c>
      <c r="S42" s="10">
        <f>SUM(S45,S48,S51)+SUM('表32(續2)'!S9,'表32(續2)'!S12,'表32(續2)'!S15,'表32(續2)'!S18,'表32(續2)'!S21,'表32(續2)'!S24,'表32(續2)'!S27)</f>
        <v>231</v>
      </c>
      <c r="T42" s="10">
        <f>SUM(T45,T48,T51)+SUM('表32(續2)'!T9,'表32(續2)'!T12,'表32(續2)'!T15,'表32(續2)'!T18,'表32(續2)'!T21,'表32(續2)'!T24,'表32(續2)'!T27)</f>
        <v>0</v>
      </c>
    </row>
    <row r="43" spans="1:20" s="85" customFormat="1" ht="13.5" customHeight="1">
      <c r="A43" s="542"/>
      <c r="B43" s="491" t="s">
        <v>519</v>
      </c>
      <c r="C43" s="141" t="s">
        <v>702</v>
      </c>
      <c r="D43" s="55">
        <f>SUM(D44:D45)</f>
        <v>949</v>
      </c>
      <c r="E43" s="55">
        <f>SUM(E44:E45)</f>
        <v>947</v>
      </c>
      <c r="F43" s="55">
        <f>SUM(F44:F45)</f>
        <v>2</v>
      </c>
      <c r="G43" s="55">
        <f>SUM(G44:G45)/2</f>
        <v>29</v>
      </c>
      <c r="H43" s="55">
        <f aca="true" t="shared" si="10" ref="H43:T43">SUM(H44:H45)</f>
        <v>0</v>
      </c>
      <c r="I43" s="55">
        <f t="shared" si="10"/>
        <v>114</v>
      </c>
      <c r="J43" s="55">
        <f t="shared" si="10"/>
        <v>385</v>
      </c>
      <c r="K43" s="55">
        <f t="shared" si="10"/>
        <v>279</v>
      </c>
      <c r="L43" s="55">
        <f t="shared" si="10"/>
        <v>150</v>
      </c>
      <c r="M43" s="55">
        <f t="shared" si="10"/>
        <v>14</v>
      </c>
      <c r="N43" s="55">
        <f t="shared" si="10"/>
        <v>7</v>
      </c>
      <c r="O43" s="55">
        <f t="shared" si="10"/>
        <v>0</v>
      </c>
      <c r="P43" s="55">
        <f t="shared" si="10"/>
        <v>0</v>
      </c>
      <c r="Q43" s="55">
        <f t="shared" si="10"/>
        <v>0</v>
      </c>
      <c r="R43" s="55">
        <f t="shared" si="10"/>
        <v>0</v>
      </c>
      <c r="S43" s="55">
        <f t="shared" si="10"/>
        <v>0</v>
      </c>
      <c r="T43" s="55">
        <f t="shared" si="10"/>
        <v>0</v>
      </c>
    </row>
    <row r="44" spans="1:20" s="85" customFormat="1" ht="13.5" customHeight="1">
      <c r="A44" s="546"/>
      <c r="B44" s="492"/>
      <c r="C44" s="143" t="s">
        <v>703</v>
      </c>
      <c r="D44" s="10">
        <v>639</v>
      </c>
      <c r="E44" s="10">
        <v>637</v>
      </c>
      <c r="F44" s="10">
        <v>2</v>
      </c>
      <c r="G44" s="10">
        <v>30</v>
      </c>
      <c r="H44" s="10">
        <v>0</v>
      </c>
      <c r="I44" s="10">
        <v>51</v>
      </c>
      <c r="J44" s="10">
        <v>233</v>
      </c>
      <c r="K44" s="10">
        <v>212</v>
      </c>
      <c r="L44" s="10">
        <v>124</v>
      </c>
      <c r="M44" s="10">
        <v>12</v>
      </c>
      <c r="N44" s="10">
        <v>7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49">
        <v>0</v>
      </c>
    </row>
    <row r="45" spans="1:20" s="85" customFormat="1" ht="13.5" customHeight="1">
      <c r="A45" s="542"/>
      <c r="B45" s="493"/>
      <c r="C45" s="144" t="s">
        <v>704</v>
      </c>
      <c r="D45" s="10">
        <v>310</v>
      </c>
      <c r="E45" s="10">
        <v>310</v>
      </c>
      <c r="F45" s="10">
        <v>0</v>
      </c>
      <c r="G45" s="10">
        <v>28</v>
      </c>
      <c r="H45" s="10">
        <v>0</v>
      </c>
      <c r="I45" s="10">
        <v>63</v>
      </c>
      <c r="J45" s="10">
        <v>152</v>
      </c>
      <c r="K45" s="10">
        <v>67</v>
      </c>
      <c r="L45" s="10">
        <v>26</v>
      </c>
      <c r="M45" s="10">
        <v>2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49">
        <v>0</v>
      </c>
    </row>
    <row r="46" spans="1:20" s="93" customFormat="1" ht="13.5" customHeight="1">
      <c r="A46" s="538" t="s">
        <v>541</v>
      </c>
      <c r="B46" s="491" t="s">
        <v>520</v>
      </c>
      <c r="C46" s="141" t="s">
        <v>702</v>
      </c>
      <c r="D46" s="55">
        <f>SUM(D47:D48)</f>
        <v>564</v>
      </c>
      <c r="E46" s="55">
        <f>SUM(E47:E48)</f>
        <v>563</v>
      </c>
      <c r="F46" s="55">
        <f>SUM(F47:F48)</f>
        <v>1</v>
      </c>
      <c r="G46" s="55">
        <f>SUM(G47:G48)/2</f>
        <v>29.5</v>
      </c>
      <c r="H46" s="55">
        <f aca="true" t="shared" si="11" ref="H46:T46">SUM(H47:H48)</f>
        <v>0</v>
      </c>
      <c r="I46" s="55">
        <f t="shared" si="11"/>
        <v>51</v>
      </c>
      <c r="J46" s="55">
        <f t="shared" si="11"/>
        <v>221</v>
      </c>
      <c r="K46" s="55">
        <f t="shared" si="11"/>
        <v>178</v>
      </c>
      <c r="L46" s="55">
        <f t="shared" si="11"/>
        <v>91</v>
      </c>
      <c r="M46" s="55">
        <f t="shared" si="11"/>
        <v>21</v>
      </c>
      <c r="N46" s="55">
        <f t="shared" si="11"/>
        <v>1</v>
      </c>
      <c r="O46" s="55">
        <f t="shared" si="11"/>
        <v>1</v>
      </c>
      <c r="P46" s="55">
        <f t="shared" si="11"/>
        <v>0</v>
      </c>
      <c r="Q46" s="55">
        <f t="shared" si="11"/>
        <v>0</v>
      </c>
      <c r="R46" s="55">
        <f t="shared" si="11"/>
        <v>0</v>
      </c>
      <c r="S46" s="55">
        <f t="shared" si="11"/>
        <v>0</v>
      </c>
      <c r="T46" s="55">
        <f t="shared" si="11"/>
        <v>0</v>
      </c>
    </row>
    <row r="47" spans="1:20" s="93" customFormat="1" ht="13.5" customHeight="1">
      <c r="A47" s="538"/>
      <c r="B47" s="492"/>
      <c r="C47" s="143" t="s">
        <v>703</v>
      </c>
      <c r="D47" s="10">
        <v>390</v>
      </c>
      <c r="E47" s="10">
        <v>390</v>
      </c>
      <c r="F47" s="10">
        <v>0</v>
      </c>
      <c r="G47" s="10">
        <v>31</v>
      </c>
      <c r="H47" s="10">
        <v>0</v>
      </c>
      <c r="I47" s="10">
        <v>20</v>
      </c>
      <c r="J47" s="10">
        <v>138</v>
      </c>
      <c r="K47" s="10">
        <v>140</v>
      </c>
      <c r="L47" s="10">
        <v>74</v>
      </c>
      <c r="M47" s="10">
        <v>17</v>
      </c>
      <c r="N47" s="10">
        <v>1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s="93" customFormat="1" ht="13.5" customHeight="1">
      <c r="A48" s="538"/>
      <c r="B48" s="493"/>
      <c r="C48" s="144" t="s">
        <v>704</v>
      </c>
      <c r="D48" s="10">
        <v>174</v>
      </c>
      <c r="E48" s="10">
        <v>173</v>
      </c>
      <c r="F48" s="10">
        <v>1</v>
      </c>
      <c r="G48" s="10">
        <v>28</v>
      </c>
      <c r="H48" s="10">
        <v>0</v>
      </c>
      <c r="I48" s="10">
        <v>31</v>
      </c>
      <c r="J48" s="10">
        <v>83</v>
      </c>
      <c r="K48" s="10">
        <v>38</v>
      </c>
      <c r="L48" s="10">
        <v>17</v>
      </c>
      <c r="M48" s="10">
        <v>4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s="93" customFormat="1" ht="13.5" customHeight="1">
      <c r="A49" s="538"/>
      <c r="B49" s="507" t="s">
        <v>521</v>
      </c>
      <c r="C49" s="141" t="s">
        <v>702</v>
      </c>
      <c r="D49" s="55">
        <f>SUM(D50:D51)</f>
        <v>717</v>
      </c>
      <c r="E49" s="55">
        <f>SUM(E50:E51)</f>
        <v>715</v>
      </c>
      <c r="F49" s="55">
        <f>SUM(F50:F51)</f>
        <v>2</v>
      </c>
      <c r="G49" s="55">
        <f>SUM(G50:G51)/2</f>
        <v>29</v>
      </c>
      <c r="H49" s="55">
        <f aca="true" t="shared" si="12" ref="H49:T49">SUM(H50:H51)</f>
        <v>0</v>
      </c>
      <c r="I49" s="55">
        <f t="shared" si="12"/>
        <v>59</v>
      </c>
      <c r="J49" s="55">
        <f t="shared" si="12"/>
        <v>323</v>
      </c>
      <c r="K49" s="55">
        <f t="shared" si="12"/>
        <v>217</v>
      </c>
      <c r="L49" s="55">
        <f t="shared" si="12"/>
        <v>91</v>
      </c>
      <c r="M49" s="55">
        <f t="shared" si="12"/>
        <v>23</v>
      </c>
      <c r="N49" s="55">
        <f t="shared" si="12"/>
        <v>3</v>
      </c>
      <c r="O49" s="55">
        <f t="shared" si="12"/>
        <v>1</v>
      </c>
      <c r="P49" s="55">
        <f t="shared" si="12"/>
        <v>0</v>
      </c>
      <c r="Q49" s="55">
        <f t="shared" si="12"/>
        <v>2</v>
      </c>
      <c r="R49" s="55">
        <f t="shared" si="12"/>
        <v>645</v>
      </c>
      <c r="S49" s="55">
        <f t="shared" si="12"/>
        <v>70</v>
      </c>
      <c r="T49" s="55">
        <f t="shared" si="12"/>
        <v>0</v>
      </c>
    </row>
    <row r="50" spans="1:20" s="93" customFormat="1" ht="13.5" customHeight="1">
      <c r="A50" s="538"/>
      <c r="B50" s="516"/>
      <c r="C50" s="143" t="s">
        <v>703</v>
      </c>
      <c r="D50" s="10">
        <v>437</v>
      </c>
      <c r="E50" s="10">
        <v>435</v>
      </c>
      <c r="F50" s="10">
        <v>2</v>
      </c>
      <c r="G50" s="10">
        <v>30</v>
      </c>
      <c r="H50" s="10">
        <v>0</v>
      </c>
      <c r="I50" s="10">
        <v>20</v>
      </c>
      <c r="J50" s="10">
        <v>175</v>
      </c>
      <c r="K50" s="10">
        <v>147</v>
      </c>
      <c r="L50" s="10">
        <v>71</v>
      </c>
      <c r="M50" s="10">
        <v>22</v>
      </c>
      <c r="N50" s="10">
        <v>2</v>
      </c>
      <c r="O50" s="10">
        <v>0</v>
      </c>
      <c r="P50" s="10">
        <v>0</v>
      </c>
      <c r="Q50" s="10">
        <v>2</v>
      </c>
      <c r="R50" s="10">
        <v>389</v>
      </c>
      <c r="S50" s="10">
        <v>46</v>
      </c>
      <c r="T50" s="10">
        <v>0</v>
      </c>
    </row>
    <row r="51" spans="1:20" s="93" customFormat="1" ht="13.5" customHeight="1">
      <c r="A51" s="538"/>
      <c r="B51" s="517"/>
      <c r="C51" s="143" t="s">
        <v>704</v>
      </c>
      <c r="D51" s="10">
        <v>280</v>
      </c>
      <c r="E51" s="10">
        <v>280</v>
      </c>
      <c r="F51" s="10">
        <v>0</v>
      </c>
      <c r="G51" s="10">
        <v>28</v>
      </c>
      <c r="H51" s="10">
        <v>0</v>
      </c>
      <c r="I51" s="10">
        <v>39</v>
      </c>
      <c r="J51" s="10">
        <v>148</v>
      </c>
      <c r="K51" s="10">
        <v>70</v>
      </c>
      <c r="L51" s="10">
        <v>20</v>
      </c>
      <c r="M51" s="10">
        <v>1</v>
      </c>
      <c r="N51" s="10">
        <v>1</v>
      </c>
      <c r="O51" s="10">
        <v>1</v>
      </c>
      <c r="P51" s="10">
        <v>0</v>
      </c>
      <c r="Q51" s="10">
        <v>0</v>
      </c>
      <c r="R51" s="10">
        <v>256</v>
      </c>
      <c r="S51" s="10">
        <v>24</v>
      </c>
      <c r="T51" s="10">
        <v>0</v>
      </c>
    </row>
    <row r="55" spans="1:20" ht="15.75">
      <c r="A55" s="535" t="str">
        <f>"- "&amp;Sheet1!D33&amp;" -"</f>
        <v>- 196 -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"&amp;Sheet1!E33&amp;" -"</f>
        <v>- 197 -</v>
      </c>
      <c r="L55" s="535"/>
      <c r="M55" s="535"/>
      <c r="N55" s="535"/>
      <c r="O55" s="535"/>
      <c r="P55" s="535"/>
      <c r="Q55" s="535"/>
      <c r="R55" s="535"/>
      <c r="S55" s="535"/>
      <c r="T55" s="535"/>
    </row>
  </sheetData>
  <sheetProtection/>
  <mergeCells count="35">
    <mergeCell ref="B43:B45"/>
    <mergeCell ref="A40:A45"/>
    <mergeCell ref="K55:T55"/>
    <mergeCell ref="B49:B51"/>
    <mergeCell ref="B46:B48"/>
    <mergeCell ref="A55:J55"/>
    <mergeCell ref="A46:A51"/>
    <mergeCell ref="B28:B30"/>
    <mergeCell ref="B25:B27"/>
    <mergeCell ref="A7:A16"/>
    <mergeCell ref="B40:B42"/>
    <mergeCell ref="B31:B33"/>
    <mergeCell ref="B37:B39"/>
    <mergeCell ref="A28:A33"/>
    <mergeCell ref="A34:A39"/>
    <mergeCell ref="B34:B36"/>
    <mergeCell ref="A1:J1"/>
    <mergeCell ref="L3:S3"/>
    <mergeCell ref="K1:T1"/>
    <mergeCell ref="Q5:T5"/>
    <mergeCell ref="E5:E6"/>
    <mergeCell ref="F5:F6"/>
    <mergeCell ref="C3:H3"/>
    <mergeCell ref="H5:J5"/>
    <mergeCell ref="K5:P5"/>
    <mergeCell ref="G5:G6"/>
    <mergeCell ref="A5:C6"/>
    <mergeCell ref="D5:D6"/>
    <mergeCell ref="B16:B18"/>
    <mergeCell ref="B22:B24"/>
    <mergeCell ref="B19:B21"/>
    <mergeCell ref="B13:B15"/>
    <mergeCell ref="B7:B9"/>
    <mergeCell ref="B10:B12"/>
    <mergeCell ref="A17:A27"/>
  </mergeCells>
  <printOptions/>
  <pageMargins left="0.6299212598425197" right="0.3937007874015748" top="0.5511811023622047" bottom="0" header="0.5118110236220472" footer="0.7086614173228347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S58"/>
  <sheetViews>
    <sheetView view="pageLayout" zoomScaleSheetLayoutView="85" workbookViewId="0" topLeftCell="A32">
      <selection activeCell="A57" sqref="A57:J57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1" width="8.50390625" style="89" customWidth="1"/>
    <col min="12" max="17" width="8.625" style="89" customWidth="1"/>
    <col min="18" max="18" width="9.875" style="89" customWidth="1"/>
    <col min="19" max="19" width="9.75390625" style="89" customWidth="1"/>
    <col min="20" max="20" width="10.50390625" style="89" customWidth="1"/>
    <col min="21" max="16384" width="9.00390625" style="89" customWidth="1"/>
  </cols>
  <sheetData>
    <row r="1" spans="1:20" s="96" customFormat="1" ht="21.75" customHeight="1">
      <c r="A1" s="539" t="s">
        <v>542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212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698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695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392</v>
      </c>
      <c r="E5" s="507" t="s">
        <v>705</v>
      </c>
      <c r="F5" s="507" t="s">
        <v>706</v>
      </c>
      <c r="G5" s="507" t="s">
        <v>707</v>
      </c>
      <c r="H5" s="495" t="s">
        <v>699</v>
      </c>
      <c r="I5" s="496"/>
      <c r="J5" s="496"/>
      <c r="K5" s="496" t="s">
        <v>667</v>
      </c>
      <c r="L5" s="496"/>
      <c r="M5" s="496"/>
      <c r="N5" s="496"/>
      <c r="O5" s="496"/>
      <c r="P5" s="514"/>
      <c r="Q5" s="495" t="s">
        <v>709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12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700</v>
      </c>
      <c r="R6" s="117" t="s">
        <v>708</v>
      </c>
      <c r="S6" s="117" t="s">
        <v>701</v>
      </c>
      <c r="T6" s="120" t="s">
        <v>711</v>
      </c>
    </row>
    <row r="7" spans="1:45" s="93" customFormat="1" ht="13.5" customHeight="1">
      <c r="A7" s="541" t="s">
        <v>540</v>
      </c>
      <c r="B7" s="507" t="s">
        <v>522</v>
      </c>
      <c r="C7" s="141" t="s">
        <v>702</v>
      </c>
      <c r="D7" s="140">
        <f>SUM(D8:D9)</f>
        <v>704</v>
      </c>
      <c r="E7" s="56">
        <f>SUM(E8:E9)</f>
        <v>704</v>
      </c>
      <c r="F7" s="56">
        <f>SUM(F8:F9)</f>
        <v>0</v>
      </c>
      <c r="G7" s="56">
        <f>SUM(G8:G9)/2</f>
        <v>30</v>
      </c>
      <c r="H7" s="56">
        <f aca="true" t="shared" si="0" ref="H7:T7">SUM(H8:H9)</f>
        <v>0</v>
      </c>
      <c r="I7" s="56">
        <f t="shared" si="0"/>
        <v>34</v>
      </c>
      <c r="J7" s="56">
        <f t="shared" si="0"/>
        <v>318</v>
      </c>
      <c r="K7" s="56">
        <f t="shared" si="0"/>
        <v>213</v>
      </c>
      <c r="L7" s="56">
        <f t="shared" si="0"/>
        <v>117</v>
      </c>
      <c r="M7" s="56">
        <f t="shared" si="0"/>
        <v>19</v>
      </c>
      <c r="N7" s="56">
        <f t="shared" si="0"/>
        <v>3</v>
      </c>
      <c r="O7" s="56">
        <f t="shared" si="0"/>
        <v>0</v>
      </c>
      <c r="P7" s="56">
        <f t="shared" si="0"/>
        <v>0</v>
      </c>
      <c r="Q7" s="56">
        <f t="shared" si="0"/>
        <v>9</v>
      </c>
      <c r="R7" s="56">
        <f t="shared" si="0"/>
        <v>619</v>
      </c>
      <c r="S7" s="310">
        <f t="shared" si="0"/>
        <v>76</v>
      </c>
      <c r="T7" s="54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516"/>
      <c r="C8" s="143" t="s">
        <v>703</v>
      </c>
      <c r="D8" s="10">
        <v>443</v>
      </c>
      <c r="E8" s="10">
        <v>443</v>
      </c>
      <c r="F8" s="10">
        <v>0</v>
      </c>
      <c r="G8" s="10">
        <v>31</v>
      </c>
      <c r="H8" s="10">
        <v>0</v>
      </c>
      <c r="I8" s="10">
        <v>8</v>
      </c>
      <c r="J8" s="10">
        <v>178</v>
      </c>
      <c r="K8" s="10">
        <v>147</v>
      </c>
      <c r="L8" s="10">
        <v>93</v>
      </c>
      <c r="M8" s="10">
        <v>16</v>
      </c>
      <c r="N8" s="10">
        <v>1</v>
      </c>
      <c r="O8" s="10">
        <v>0</v>
      </c>
      <c r="P8" s="10">
        <v>0</v>
      </c>
      <c r="Q8" s="10">
        <v>8</v>
      </c>
      <c r="R8" s="10">
        <v>382</v>
      </c>
      <c r="S8" s="10">
        <v>53</v>
      </c>
      <c r="T8" s="10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517"/>
      <c r="C9" s="144" t="s">
        <v>704</v>
      </c>
      <c r="D9" s="10">
        <v>261</v>
      </c>
      <c r="E9" s="10">
        <v>261</v>
      </c>
      <c r="F9" s="10">
        <v>0</v>
      </c>
      <c r="G9" s="10">
        <v>29</v>
      </c>
      <c r="H9" s="10">
        <v>0</v>
      </c>
      <c r="I9" s="10">
        <v>26</v>
      </c>
      <c r="J9" s="10">
        <v>140</v>
      </c>
      <c r="K9" s="10">
        <v>66</v>
      </c>
      <c r="L9" s="10">
        <v>24</v>
      </c>
      <c r="M9" s="10">
        <v>3</v>
      </c>
      <c r="N9" s="10">
        <v>2</v>
      </c>
      <c r="O9" s="10">
        <v>0</v>
      </c>
      <c r="P9" s="10">
        <v>0</v>
      </c>
      <c r="Q9" s="10">
        <v>1</v>
      </c>
      <c r="R9" s="10">
        <v>237</v>
      </c>
      <c r="S9" s="10">
        <v>23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542"/>
      <c r="B10" s="491" t="s">
        <v>532</v>
      </c>
      <c r="C10" s="141" t="s">
        <v>702</v>
      </c>
      <c r="D10" s="55">
        <f>SUM(D11:D12)</f>
        <v>701</v>
      </c>
      <c r="E10" s="55">
        <f>SUM(E11:E12)</f>
        <v>699</v>
      </c>
      <c r="F10" s="55">
        <f>SUM(F11:F12)</f>
        <v>2</v>
      </c>
      <c r="G10" s="55">
        <f>SUM(G11:G12)/2</f>
        <v>29.5</v>
      </c>
      <c r="H10" s="55">
        <f aca="true" t="shared" si="1" ref="H10:T10">SUM(H11:H12)</f>
        <v>0</v>
      </c>
      <c r="I10" s="55">
        <f t="shared" si="1"/>
        <v>65</v>
      </c>
      <c r="J10" s="55">
        <f t="shared" si="1"/>
        <v>283</v>
      </c>
      <c r="K10" s="55">
        <f t="shared" si="1"/>
        <v>211</v>
      </c>
      <c r="L10" s="55">
        <f t="shared" si="1"/>
        <v>115</v>
      </c>
      <c r="M10" s="55">
        <f t="shared" si="1"/>
        <v>24</v>
      </c>
      <c r="N10" s="55">
        <f t="shared" si="1"/>
        <v>3</v>
      </c>
      <c r="O10" s="55">
        <f t="shared" si="1"/>
        <v>0</v>
      </c>
      <c r="P10" s="55">
        <f t="shared" si="1"/>
        <v>0</v>
      </c>
      <c r="Q10" s="55">
        <f t="shared" si="1"/>
        <v>13</v>
      </c>
      <c r="R10" s="55">
        <f t="shared" si="1"/>
        <v>631</v>
      </c>
      <c r="S10" s="55">
        <f t="shared" si="1"/>
        <v>57</v>
      </c>
      <c r="T10" s="55">
        <f t="shared" si="1"/>
        <v>0</v>
      </c>
    </row>
    <row r="11" spans="1:20" s="93" customFormat="1" ht="13.5" customHeight="1">
      <c r="A11" s="542"/>
      <c r="B11" s="492"/>
      <c r="C11" s="143" t="s">
        <v>703</v>
      </c>
      <c r="D11" s="49">
        <v>406</v>
      </c>
      <c r="E11" s="49">
        <v>405</v>
      </c>
      <c r="F11" s="58">
        <v>1</v>
      </c>
      <c r="G11" s="49">
        <v>31</v>
      </c>
      <c r="H11" s="49">
        <v>0</v>
      </c>
      <c r="I11" s="49">
        <v>18</v>
      </c>
      <c r="J11" s="59">
        <v>128</v>
      </c>
      <c r="K11" s="58">
        <v>153</v>
      </c>
      <c r="L11" s="58">
        <v>85</v>
      </c>
      <c r="M11" s="58">
        <v>19</v>
      </c>
      <c r="N11" s="58">
        <v>3</v>
      </c>
      <c r="O11" s="58">
        <v>0</v>
      </c>
      <c r="P11" s="58">
        <v>0</v>
      </c>
      <c r="Q11" s="58">
        <v>8</v>
      </c>
      <c r="R11" s="58">
        <v>354</v>
      </c>
      <c r="S11" s="58">
        <v>44</v>
      </c>
      <c r="T11" s="58">
        <v>0</v>
      </c>
    </row>
    <row r="12" spans="1:20" s="93" customFormat="1" ht="13.5" customHeight="1">
      <c r="A12" s="542"/>
      <c r="B12" s="493"/>
      <c r="C12" s="144" t="s">
        <v>704</v>
      </c>
      <c r="D12" s="49">
        <v>295</v>
      </c>
      <c r="E12" s="49">
        <v>294</v>
      </c>
      <c r="F12" s="58">
        <v>1</v>
      </c>
      <c r="G12" s="49">
        <v>28</v>
      </c>
      <c r="H12" s="49">
        <v>0</v>
      </c>
      <c r="I12" s="49">
        <v>47</v>
      </c>
      <c r="J12" s="59">
        <v>155</v>
      </c>
      <c r="K12" s="58">
        <v>58</v>
      </c>
      <c r="L12" s="58">
        <v>30</v>
      </c>
      <c r="M12" s="58">
        <v>5</v>
      </c>
      <c r="N12" s="58">
        <v>0</v>
      </c>
      <c r="O12" s="58">
        <v>0</v>
      </c>
      <c r="P12" s="58">
        <v>0</v>
      </c>
      <c r="Q12" s="58">
        <v>5</v>
      </c>
      <c r="R12" s="58">
        <v>277</v>
      </c>
      <c r="S12" s="58">
        <v>13</v>
      </c>
      <c r="T12" s="58">
        <v>0</v>
      </c>
    </row>
    <row r="13" spans="1:20" s="93" customFormat="1" ht="13.5" customHeight="1">
      <c r="A13" s="542"/>
      <c r="B13" s="491" t="s">
        <v>533</v>
      </c>
      <c r="C13" s="141" t="s">
        <v>702</v>
      </c>
      <c r="D13" s="55">
        <f>SUM(D14:D15)</f>
        <v>1545</v>
      </c>
      <c r="E13" s="55">
        <f>SUM(E14:E15)</f>
        <v>1545</v>
      </c>
      <c r="F13" s="55">
        <f>SUM(F14:F15)</f>
        <v>0</v>
      </c>
      <c r="G13" s="55">
        <f>SUM(G14:G15)/2</f>
        <v>30</v>
      </c>
      <c r="H13" s="55">
        <f aca="true" t="shared" si="2" ref="H13:T13">SUM(H14:H15)</f>
        <v>1</v>
      </c>
      <c r="I13" s="55">
        <f t="shared" si="2"/>
        <v>121</v>
      </c>
      <c r="J13" s="55">
        <f t="shared" si="2"/>
        <v>629</v>
      </c>
      <c r="K13" s="55">
        <f t="shared" si="2"/>
        <v>466</v>
      </c>
      <c r="L13" s="55">
        <f t="shared" si="2"/>
        <v>255</v>
      </c>
      <c r="M13" s="55">
        <f t="shared" si="2"/>
        <v>66</v>
      </c>
      <c r="N13" s="55">
        <f t="shared" si="2"/>
        <v>6</v>
      </c>
      <c r="O13" s="55">
        <f t="shared" si="2"/>
        <v>1</v>
      </c>
      <c r="P13" s="55">
        <f t="shared" si="2"/>
        <v>0</v>
      </c>
      <c r="Q13" s="55">
        <f t="shared" si="2"/>
        <v>38</v>
      </c>
      <c r="R13" s="55">
        <f t="shared" si="2"/>
        <v>1387</v>
      </c>
      <c r="S13" s="55">
        <f t="shared" si="2"/>
        <v>120</v>
      </c>
      <c r="T13" s="55">
        <f t="shared" si="2"/>
        <v>0</v>
      </c>
    </row>
    <row r="14" spans="1:20" s="93" customFormat="1" ht="13.5" customHeight="1">
      <c r="A14" s="542"/>
      <c r="B14" s="492"/>
      <c r="C14" s="143" t="s">
        <v>703</v>
      </c>
      <c r="D14" s="49">
        <v>807</v>
      </c>
      <c r="E14" s="49">
        <v>807</v>
      </c>
      <c r="F14" s="58">
        <v>0</v>
      </c>
      <c r="G14" s="49">
        <v>31</v>
      </c>
      <c r="H14" s="49">
        <v>0</v>
      </c>
      <c r="I14" s="49">
        <v>37</v>
      </c>
      <c r="J14" s="59">
        <v>275</v>
      </c>
      <c r="K14" s="58">
        <v>272</v>
      </c>
      <c r="L14" s="58">
        <v>177</v>
      </c>
      <c r="M14" s="58">
        <v>41</v>
      </c>
      <c r="N14" s="58">
        <v>4</v>
      </c>
      <c r="O14" s="58">
        <v>1</v>
      </c>
      <c r="P14" s="58">
        <v>0</v>
      </c>
      <c r="Q14" s="58">
        <v>28</v>
      </c>
      <c r="R14" s="58">
        <v>692</v>
      </c>
      <c r="S14" s="58">
        <v>87</v>
      </c>
      <c r="T14" s="62">
        <v>0</v>
      </c>
    </row>
    <row r="15" spans="1:20" s="93" customFormat="1" ht="13.5" customHeight="1">
      <c r="A15" s="542"/>
      <c r="B15" s="493"/>
      <c r="C15" s="144" t="s">
        <v>704</v>
      </c>
      <c r="D15" s="49">
        <v>738</v>
      </c>
      <c r="E15" s="49">
        <v>738</v>
      </c>
      <c r="F15" s="58">
        <v>0</v>
      </c>
      <c r="G15" s="49">
        <v>29</v>
      </c>
      <c r="H15" s="49">
        <v>1</v>
      </c>
      <c r="I15" s="49">
        <v>84</v>
      </c>
      <c r="J15" s="59">
        <v>354</v>
      </c>
      <c r="K15" s="58">
        <v>194</v>
      </c>
      <c r="L15" s="58">
        <v>78</v>
      </c>
      <c r="M15" s="58">
        <v>25</v>
      </c>
      <c r="N15" s="58">
        <v>2</v>
      </c>
      <c r="O15" s="58">
        <v>0</v>
      </c>
      <c r="P15" s="58">
        <v>0</v>
      </c>
      <c r="Q15" s="58">
        <v>10</v>
      </c>
      <c r="R15" s="58">
        <v>695</v>
      </c>
      <c r="S15" s="58">
        <v>33</v>
      </c>
      <c r="T15" s="62">
        <v>0</v>
      </c>
    </row>
    <row r="16" spans="1:20" s="93" customFormat="1" ht="13.5" customHeight="1">
      <c r="A16" s="542"/>
      <c r="B16" s="491" t="s">
        <v>534</v>
      </c>
      <c r="C16" s="141" t="s">
        <v>702</v>
      </c>
      <c r="D16" s="55">
        <f>SUM(D17:D18)</f>
        <v>1324</v>
      </c>
      <c r="E16" s="55">
        <f>SUM(E17:E18)</f>
        <v>1323</v>
      </c>
      <c r="F16" s="55">
        <f>SUM(F17:F18)</f>
        <v>1</v>
      </c>
      <c r="G16" s="55">
        <f>SUM(G17:G18)/2</f>
        <v>29.5</v>
      </c>
      <c r="H16" s="55">
        <f aca="true" t="shared" si="3" ref="H16:T16">SUM(H17:H18)</f>
        <v>0</v>
      </c>
      <c r="I16" s="55">
        <f t="shared" si="3"/>
        <v>103</v>
      </c>
      <c r="J16" s="55">
        <f t="shared" si="3"/>
        <v>584</v>
      </c>
      <c r="K16" s="55">
        <f t="shared" si="3"/>
        <v>407</v>
      </c>
      <c r="L16" s="55">
        <f t="shared" si="3"/>
        <v>168</v>
      </c>
      <c r="M16" s="55">
        <f t="shared" si="3"/>
        <v>45</v>
      </c>
      <c r="N16" s="55">
        <f t="shared" si="3"/>
        <v>13</v>
      </c>
      <c r="O16" s="55">
        <f t="shared" si="3"/>
        <v>2</v>
      </c>
      <c r="P16" s="55">
        <f t="shared" si="3"/>
        <v>2</v>
      </c>
      <c r="Q16" s="55">
        <f t="shared" si="3"/>
        <v>40</v>
      </c>
      <c r="R16" s="55">
        <f t="shared" si="3"/>
        <v>1171</v>
      </c>
      <c r="S16" s="55">
        <f t="shared" si="3"/>
        <v>113</v>
      </c>
      <c r="T16" s="55">
        <f t="shared" si="3"/>
        <v>0</v>
      </c>
    </row>
    <row r="17" spans="1:20" s="93" customFormat="1" ht="13.5" customHeight="1">
      <c r="A17" s="538" t="s">
        <v>541</v>
      </c>
      <c r="B17" s="492"/>
      <c r="C17" s="143" t="s">
        <v>703</v>
      </c>
      <c r="D17" s="49">
        <v>727</v>
      </c>
      <c r="E17" s="49">
        <v>726</v>
      </c>
      <c r="F17" s="49">
        <v>1</v>
      </c>
      <c r="G17" s="49">
        <v>31</v>
      </c>
      <c r="H17" s="49">
        <v>0</v>
      </c>
      <c r="I17" s="49">
        <v>36</v>
      </c>
      <c r="J17" s="49">
        <v>284</v>
      </c>
      <c r="K17" s="49">
        <v>245</v>
      </c>
      <c r="L17" s="49">
        <v>118</v>
      </c>
      <c r="M17" s="49">
        <v>32</v>
      </c>
      <c r="N17" s="49">
        <v>8</v>
      </c>
      <c r="O17" s="49">
        <v>2</v>
      </c>
      <c r="P17" s="49">
        <v>2</v>
      </c>
      <c r="Q17" s="49">
        <v>20</v>
      </c>
      <c r="R17" s="49">
        <v>633</v>
      </c>
      <c r="S17" s="49">
        <v>74</v>
      </c>
      <c r="T17" s="49">
        <v>0</v>
      </c>
    </row>
    <row r="18" spans="1:20" s="93" customFormat="1" ht="13.5" customHeight="1">
      <c r="A18" s="538"/>
      <c r="B18" s="492"/>
      <c r="C18" s="144" t="s">
        <v>704</v>
      </c>
      <c r="D18" s="49">
        <v>597</v>
      </c>
      <c r="E18" s="49">
        <v>597</v>
      </c>
      <c r="F18" s="49">
        <v>0</v>
      </c>
      <c r="G18" s="49">
        <v>28</v>
      </c>
      <c r="H18" s="49">
        <v>0</v>
      </c>
      <c r="I18" s="49">
        <v>67</v>
      </c>
      <c r="J18" s="49">
        <v>300</v>
      </c>
      <c r="K18" s="49">
        <v>162</v>
      </c>
      <c r="L18" s="49">
        <v>50</v>
      </c>
      <c r="M18" s="49">
        <v>13</v>
      </c>
      <c r="N18" s="49">
        <v>5</v>
      </c>
      <c r="O18" s="49">
        <v>0</v>
      </c>
      <c r="P18" s="49">
        <v>0</v>
      </c>
      <c r="Q18" s="49">
        <v>20</v>
      </c>
      <c r="R18" s="49">
        <v>538</v>
      </c>
      <c r="S18" s="49">
        <v>39</v>
      </c>
      <c r="T18" s="49">
        <v>0</v>
      </c>
    </row>
    <row r="19" spans="1:20" s="93" customFormat="1" ht="13.5" customHeight="1">
      <c r="A19" s="538"/>
      <c r="B19" s="491" t="s">
        <v>535</v>
      </c>
      <c r="C19" s="141" t="s">
        <v>702</v>
      </c>
      <c r="D19" s="55">
        <f>SUM(D20:D21)</f>
        <v>1485</v>
      </c>
      <c r="E19" s="55">
        <f>SUM(E20:E21)</f>
        <v>1485</v>
      </c>
      <c r="F19" s="55">
        <f>SUM(F20:F21)</f>
        <v>0</v>
      </c>
      <c r="G19" s="55">
        <f>SUM(G20:G21)/2</f>
        <v>30</v>
      </c>
      <c r="H19" s="55">
        <f aca="true" t="shared" si="4" ref="H19:T19">SUM(H20:H21)</f>
        <v>0</v>
      </c>
      <c r="I19" s="55">
        <f t="shared" si="4"/>
        <v>133</v>
      </c>
      <c r="J19" s="55">
        <f t="shared" si="4"/>
        <v>698</v>
      </c>
      <c r="K19" s="55">
        <f t="shared" si="4"/>
        <v>377</v>
      </c>
      <c r="L19" s="55">
        <f t="shared" si="4"/>
        <v>190</v>
      </c>
      <c r="M19" s="55">
        <f t="shared" si="4"/>
        <v>65</v>
      </c>
      <c r="N19" s="55">
        <f t="shared" si="4"/>
        <v>17</v>
      </c>
      <c r="O19" s="55">
        <f t="shared" si="4"/>
        <v>3</v>
      </c>
      <c r="P19" s="55">
        <f t="shared" si="4"/>
        <v>1</v>
      </c>
      <c r="Q19" s="55">
        <f t="shared" si="4"/>
        <v>59</v>
      </c>
      <c r="R19" s="55">
        <f t="shared" si="4"/>
        <v>1324</v>
      </c>
      <c r="S19" s="55">
        <f t="shared" si="4"/>
        <v>102</v>
      </c>
      <c r="T19" s="55">
        <f t="shared" si="4"/>
        <v>0</v>
      </c>
    </row>
    <row r="20" spans="1:20" s="93" customFormat="1" ht="13.5" customHeight="1">
      <c r="A20" s="538"/>
      <c r="B20" s="492"/>
      <c r="C20" s="143" t="s">
        <v>703</v>
      </c>
      <c r="D20" s="49">
        <v>702</v>
      </c>
      <c r="E20" s="49">
        <v>702</v>
      </c>
      <c r="F20" s="58">
        <v>0</v>
      </c>
      <c r="G20" s="49">
        <v>31</v>
      </c>
      <c r="H20" s="49">
        <v>0</v>
      </c>
      <c r="I20" s="49">
        <v>35</v>
      </c>
      <c r="J20" s="59">
        <v>285</v>
      </c>
      <c r="K20" s="58">
        <v>218</v>
      </c>
      <c r="L20" s="58">
        <v>117</v>
      </c>
      <c r="M20" s="58">
        <v>32</v>
      </c>
      <c r="N20" s="58">
        <v>11</v>
      </c>
      <c r="O20" s="58">
        <v>2</v>
      </c>
      <c r="P20" s="58">
        <v>1</v>
      </c>
      <c r="Q20" s="58">
        <v>35</v>
      </c>
      <c r="R20" s="58">
        <v>607</v>
      </c>
      <c r="S20" s="58">
        <v>60</v>
      </c>
      <c r="T20" s="58">
        <v>0</v>
      </c>
    </row>
    <row r="21" spans="1:20" s="93" customFormat="1" ht="13.5" customHeight="1">
      <c r="A21" s="538"/>
      <c r="B21" s="492"/>
      <c r="C21" s="144" t="s">
        <v>704</v>
      </c>
      <c r="D21" s="49">
        <v>783</v>
      </c>
      <c r="E21" s="49">
        <v>783</v>
      </c>
      <c r="F21" s="58">
        <v>0</v>
      </c>
      <c r="G21" s="49">
        <v>29</v>
      </c>
      <c r="H21" s="49">
        <v>0</v>
      </c>
      <c r="I21" s="49">
        <v>98</v>
      </c>
      <c r="J21" s="59">
        <v>413</v>
      </c>
      <c r="K21" s="58">
        <v>159</v>
      </c>
      <c r="L21" s="58">
        <v>73</v>
      </c>
      <c r="M21" s="58">
        <v>33</v>
      </c>
      <c r="N21" s="58">
        <v>6</v>
      </c>
      <c r="O21" s="58">
        <v>1</v>
      </c>
      <c r="P21" s="58">
        <v>0</v>
      </c>
      <c r="Q21" s="58">
        <v>24</v>
      </c>
      <c r="R21" s="58">
        <v>717</v>
      </c>
      <c r="S21" s="58">
        <v>42</v>
      </c>
      <c r="T21" s="58">
        <v>0</v>
      </c>
    </row>
    <row r="22" spans="1:20" s="93" customFormat="1" ht="13.5" customHeight="1">
      <c r="A22" s="538"/>
      <c r="B22" s="491" t="s">
        <v>536</v>
      </c>
      <c r="C22" s="141" t="s">
        <v>702</v>
      </c>
      <c r="D22" s="55">
        <f>SUM(D23:D24)</f>
        <v>1255</v>
      </c>
      <c r="E22" s="55">
        <f>SUM(E23:E24)</f>
        <v>1255</v>
      </c>
      <c r="F22" s="55">
        <f>SUM(F23:F24)</f>
        <v>0</v>
      </c>
      <c r="G22" s="55">
        <f>SUM(G23:G24)/2</f>
        <v>30</v>
      </c>
      <c r="H22" s="55">
        <f aca="true" t="shared" si="5" ref="H22:T22">SUM(H23:H24)</f>
        <v>0</v>
      </c>
      <c r="I22" s="55">
        <f t="shared" si="5"/>
        <v>97</v>
      </c>
      <c r="J22" s="55">
        <f t="shared" si="5"/>
        <v>609</v>
      </c>
      <c r="K22" s="55">
        <f t="shared" si="5"/>
        <v>324</v>
      </c>
      <c r="L22" s="55">
        <f t="shared" si="5"/>
        <v>140</v>
      </c>
      <c r="M22" s="55">
        <f t="shared" si="5"/>
        <v>59</v>
      </c>
      <c r="N22" s="55">
        <f t="shared" si="5"/>
        <v>21</v>
      </c>
      <c r="O22" s="55">
        <f t="shared" si="5"/>
        <v>5</v>
      </c>
      <c r="P22" s="55">
        <f t="shared" si="5"/>
        <v>0</v>
      </c>
      <c r="Q22" s="55">
        <f t="shared" si="5"/>
        <v>84</v>
      </c>
      <c r="R22" s="55">
        <f t="shared" si="5"/>
        <v>1081</v>
      </c>
      <c r="S22" s="55">
        <f t="shared" si="5"/>
        <v>89</v>
      </c>
      <c r="T22" s="55">
        <f t="shared" si="5"/>
        <v>1</v>
      </c>
    </row>
    <row r="23" spans="1:20" s="93" customFormat="1" ht="13.5" customHeight="1">
      <c r="A23" s="538"/>
      <c r="B23" s="492"/>
      <c r="C23" s="143" t="s">
        <v>703</v>
      </c>
      <c r="D23" s="49">
        <v>609</v>
      </c>
      <c r="E23" s="49">
        <v>609</v>
      </c>
      <c r="F23" s="58">
        <v>0</v>
      </c>
      <c r="G23" s="49">
        <v>32</v>
      </c>
      <c r="H23" s="49">
        <v>0</v>
      </c>
      <c r="I23" s="49">
        <v>19</v>
      </c>
      <c r="J23" s="59">
        <v>254</v>
      </c>
      <c r="K23" s="58">
        <v>179</v>
      </c>
      <c r="L23" s="58">
        <v>99</v>
      </c>
      <c r="M23" s="58">
        <v>40</v>
      </c>
      <c r="N23" s="58">
        <v>13</v>
      </c>
      <c r="O23" s="58">
        <v>5</v>
      </c>
      <c r="P23" s="58">
        <v>0</v>
      </c>
      <c r="Q23" s="58">
        <v>58</v>
      </c>
      <c r="R23" s="58">
        <v>499</v>
      </c>
      <c r="S23" s="58">
        <v>51</v>
      </c>
      <c r="T23" s="58">
        <v>1</v>
      </c>
    </row>
    <row r="24" spans="1:20" s="93" customFormat="1" ht="13.5" customHeight="1">
      <c r="A24" s="538"/>
      <c r="B24" s="493"/>
      <c r="C24" s="144" t="s">
        <v>704</v>
      </c>
      <c r="D24" s="49">
        <v>646</v>
      </c>
      <c r="E24" s="49">
        <v>646</v>
      </c>
      <c r="F24" s="58">
        <v>0</v>
      </c>
      <c r="G24" s="49">
        <v>28</v>
      </c>
      <c r="H24" s="49">
        <v>0</v>
      </c>
      <c r="I24" s="49">
        <v>78</v>
      </c>
      <c r="J24" s="59">
        <v>355</v>
      </c>
      <c r="K24" s="58">
        <v>145</v>
      </c>
      <c r="L24" s="58">
        <v>41</v>
      </c>
      <c r="M24" s="58">
        <v>19</v>
      </c>
      <c r="N24" s="58">
        <v>8</v>
      </c>
      <c r="O24" s="58">
        <v>0</v>
      </c>
      <c r="P24" s="58">
        <v>0</v>
      </c>
      <c r="Q24" s="58">
        <v>26</v>
      </c>
      <c r="R24" s="58">
        <v>582</v>
      </c>
      <c r="S24" s="58">
        <v>38</v>
      </c>
      <c r="T24" s="58">
        <v>0</v>
      </c>
    </row>
    <row r="25" spans="1:20" s="93" customFormat="1" ht="13.5" customHeight="1">
      <c r="A25" s="538"/>
      <c r="B25" s="494" t="s">
        <v>537</v>
      </c>
      <c r="C25" s="141" t="s">
        <v>702</v>
      </c>
      <c r="D25" s="55">
        <f>SUM(D26:D27)</f>
        <v>909</v>
      </c>
      <c r="E25" s="55">
        <f>SUM(E26:E27)</f>
        <v>909</v>
      </c>
      <c r="F25" s="55">
        <f>SUM(F26:F27)</f>
        <v>0</v>
      </c>
      <c r="G25" s="55">
        <f>SUM(G26:G27)/2</f>
        <v>29.5</v>
      </c>
      <c r="H25" s="55">
        <f aca="true" t="shared" si="6" ref="H25:T25">SUM(H26:H27)</f>
        <v>0</v>
      </c>
      <c r="I25" s="55">
        <f t="shared" si="6"/>
        <v>75</v>
      </c>
      <c r="J25" s="55">
        <f t="shared" si="6"/>
        <v>412</v>
      </c>
      <c r="K25" s="55">
        <f t="shared" si="6"/>
        <v>253</v>
      </c>
      <c r="L25" s="55">
        <f t="shared" si="6"/>
        <v>121</v>
      </c>
      <c r="M25" s="55">
        <f t="shared" si="6"/>
        <v>38</v>
      </c>
      <c r="N25" s="55">
        <f t="shared" si="6"/>
        <v>9</v>
      </c>
      <c r="O25" s="55">
        <f t="shared" si="6"/>
        <v>1</v>
      </c>
      <c r="P25" s="55">
        <f t="shared" si="6"/>
        <v>0</v>
      </c>
      <c r="Q25" s="55">
        <f t="shared" si="6"/>
        <v>81</v>
      </c>
      <c r="R25" s="55">
        <f t="shared" si="6"/>
        <v>764</v>
      </c>
      <c r="S25" s="55">
        <f t="shared" si="6"/>
        <v>64</v>
      </c>
      <c r="T25" s="55">
        <f t="shared" si="6"/>
        <v>0</v>
      </c>
    </row>
    <row r="26" spans="1:20" s="93" customFormat="1" ht="13.5" customHeight="1">
      <c r="A26" s="538"/>
      <c r="B26" s="494"/>
      <c r="C26" s="143" t="s">
        <v>703</v>
      </c>
      <c r="D26" s="49">
        <v>518</v>
      </c>
      <c r="E26" s="49">
        <v>518</v>
      </c>
      <c r="F26" s="58">
        <v>0</v>
      </c>
      <c r="G26" s="49">
        <v>31</v>
      </c>
      <c r="H26" s="49">
        <v>0</v>
      </c>
      <c r="I26" s="49">
        <v>28</v>
      </c>
      <c r="J26" s="59">
        <v>188</v>
      </c>
      <c r="K26" s="58">
        <v>166</v>
      </c>
      <c r="L26" s="58">
        <v>97</v>
      </c>
      <c r="M26" s="58">
        <v>32</v>
      </c>
      <c r="N26" s="58">
        <v>7</v>
      </c>
      <c r="O26" s="58">
        <v>0</v>
      </c>
      <c r="P26" s="58">
        <v>0</v>
      </c>
      <c r="Q26" s="58">
        <v>63</v>
      </c>
      <c r="R26" s="58">
        <v>410</v>
      </c>
      <c r="S26" s="58">
        <v>45</v>
      </c>
      <c r="T26" s="62">
        <v>0</v>
      </c>
    </row>
    <row r="27" spans="1:20" s="93" customFormat="1" ht="13.5" customHeight="1">
      <c r="A27" s="538"/>
      <c r="B27" s="507"/>
      <c r="C27" s="144" t="s">
        <v>704</v>
      </c>
      <c r="D27" s="49">
        <v>391</v>
      </c>
      <c r="E27" s="49">
        <v>391</v>
      </c>
      <c r="F27" s="58">
        <v>0</v>
      </c>
      <c r="G27" s="49">
        <v>28</v>
      </c>
      <c r="H27" s="49">
        <v>0</v>
      </c>
      <c r="I27" s="49">
        <v>47</v>
      </c>
      <c r="J27" s="59">
        <v>224</v>
      </c>
      <c r="K27" s="58">
        <v>87</v>
      </c>
      <c r="L27" s="58">
        <v>24</v>
      </c>
      <c r="M27" s="58">
        <v>6</v>
      </c>
      <c r="N27" s="58">
        <v>2</v>
      </c>
      <c r="O27" s="58">
        <v>1</v>
      </c>
      <c r="P27" s="58">
        <v>0</v>
      </c>
      <c r="Q27" s="58">
        <v>18</v>
      </c>
      <c r="R27" s="58">
        <v>354</v>
      </c>
      <c r="S27" s="58">
        <v>19</v>
      </c>
      <c r="T27" s="62">
        <v>0</v>
      </c>
    </row>
    <row r="28" spans="1:20" s="93" customFormat="1" ht="13.5" customHeight="1">
      <c r="A28" s="541" t="s">
        <v>183</v>
      </c>
      <c r="B28" s="534" t="s">
        <v>518</v>
      </c>
      <c r="C28" s="234" t="s">
        <v>702</v>
      </c>
      <c r="D28" s="140">
        <v>22</v>
      </c>
      <c r="E28" s="56">
        <v>22</v>
      </c>
      <c r="F28" s="56">
        <v>0</v>
      </c>
      <c r="G28" s="56">
        <v>28</v>
      </c>
      <c r="H28" s="56">
        <v>0</v>
      </c>
      <c r="I28" s="56">
        <v>4</v>
      </c>
      <c r="J28" s="56">
        <v>15</v>
      </c>
      <c r="K28" s="56">
        <v>1</v>
      </c>
      <c r="L28" s="56">
        <v>1</v>
      </c>
      <c r="M28" s="56">
        <v>1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</row>
    <row r="29" spans="1:21" s="93" customFormat="1" ht="13.5" customHeight="1">
      <c r="A29" s="542"/>
      <c r="B29" s="516"/>
      <c r="C29" s="124" t="s">
        <v>703</v>
      </c>
      <c r="D29" s="64">
        <v>22</v>
      </c>
      <c r="E29" s="49">
        <v>22</v>
      </c>
      <c r="F29" s="58">
        <v>0</v>
      </c>
      <c r="G29" s="49">
        <v>28</v>
      </c>
      <c r="H29" s="49">
        <v>0</v>
      </c>
      <c r="I29" s="49">
        <v>4</v>
      </c>
      <c r="J29" s="59">
        <v>15</v>
      </c>
      <c r="K29" s="58">
        <v>1</v>
      </c>
      <c r="L29" s="58">
        <v>1</v>
      </c>
      <c r="M29" s="58">
        <v>1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62">
        <v>0</v>
      </c>
      <c r="U29" s="94"/>
    </row>
    <row r="30" spans="1:21" s="93" customFormat="1" ht="13.5" customHeight="1">
      <c r="A30" s="542"/>
      <c r="B30" s="517"/>
      <c r="C30" s="235" t="s">
        <v>704</v>
      </c>
      <c r="D30" s="64">
        <v>0</v>
      </c>
      <c r="E30" s="49">
        <v>0</v>
      </c>
      <c r="F30" s="58">
        <v>0</v>
      </c>
      <c r="G30" s="49">
        <v>0</v>
      </c>
      <c r="H30" s="49">
        <v>0</v>
      </c>
      <c r="I30" s="49">
        <v>0</v>
      </c>
      <c r="J30" s="59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62">
        <v>0</v>
      </c>
      <c r="U30" s="94"/>
    </row>
    <row r="31" spans="1:21" s="93" customFormat="1" ht="13.5" customHeight="1">
      <c r="A31" s="542"/>
      <c r="B31" s="491" t="s">
        <v>519</v>
      </c>
      <c r="C31" s="234" t="s">
        <v>702</v>
      </c>
      <c r="D31" s="54">
        <v>22</v>
      </c>
      <c r="E31" s="55">
        <v>22</v>
      </c>
      <c r="F31" s="55">
        <v>0</v>
      </c>
      <c r="G31" s="55">
        <v>28</v>
      </c>
      <c r="H31" s="55">
        <v>0</v>
      </c>
      <c r="I31" s="55">
        <v>4</v>
      </c>
      <c r="J31" s="55">
        <v>15</v>
      </c>
      <c r="K31" s="55">
        <v>1</v>
      </c>
      <c r="L31" s="55">
        <v>1</v>
      </c>
      <c r="M31" s="55">
        <v>1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94"/>
    </row>
    <row r="32" spans="1:21" s="93" customFormat="1" ht="13.5" customHeight="1">
      <c r="A32" s="542"/>
      <c r="B32" s="492"/>
      <c r="C32" s="124" t="s">
        <v>703</v>
      </c>
      <c r="D32" s="64">
        <v>22</v>
      </c>
      <c r="E32" s="49">
        <v>22</v>
      </c>
      <c r="F32" s="49">
        <v>0</v>
      </c>
      <c r="G32" s="49">
        <v>28</v>
      </c>
      <c r="H32" s="49">
        <v>0</v>
      </c>
      <c r="I32" s="49">
        <v>4</v>
      </c>
      <c r="J32" s="49">
        <v>15</v>
      </c>
      <c r="K32" s="49">
        <v>1</v>
      </c>
      <c r="L32" s="49">
        <v>1</v>
      </c>
      <c r="M32" s="49">
        <v>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94"/>
    </row>
    <row r="33" spans="1:21" s="93" customFormat="1" ht="13.5" customHeight="1">
      <c r="A33" s="550" t="s">
        <v>184</v>
      </c>
      <c r="B33" s="492"/>
      <c r="C33" s="235" t="s">
        <v>704</v>
      </c>
      <c r="D33" s="64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94"/>
    </row>
    <row r="34" spans="1:20" s="93" customFormat="1" ht="13.5" customHeight="1">
      <c r="A34" s="550"/>
      <c r="B34" s="491" t="s">
        <v>182</v>
      </c>
      <c r="C34" s="234" t="s">
        <v>687</v>
      </c>
      <c r="D34" s="54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</row>
    <row r="35" spans="1:21" s="93" customFormat="1" ht="13.5" customHeight="1">
      <c r="A35" s="550"/>
      <c r="B35" s="492"/>
      <c r="C35" s="124" t="s">
        <v>688</v>
      </c>
      <c r="D35" s="64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94"/>
    </row>
    <row r="36" spans="1:21" s="93" customFormat="1" ht="13.5" customHeight="1">
      <c r="A36" s="551"/>
      <c r="B36" s="492"/>
      <c r="C36" s="235" t="s">
        <v>689</v>
      </c>
      <c r="D36" s="270">
        <v>0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94"/>
    </row>
    <row r="37" spans="1:20" s="93" customFormat="1" ht="13.5" customHeight="1">
      <c r="A37" s="547" t="s">
        <v>185</v>
      </c>
      <c r="B37" s="494" t="s">
        <v>537</v>
      </c>
      <c r="C37" s="141" t="s">
        <v>687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</row>
    <row r="38" spans="1:20" s="93" customFormat="1" ht="13.5" customHeight="1">
      <c r="A38" s="548"/>
      <c r="B38" s="494"/>
      <c r="C38" s="143" t="s">
        <v>688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</row>
    <row r="39" spans="1:20" s="93" customFormat="1" ht="20.25" customHeight="1">
      <c r="A39" s="549"/>
      <c r="B39" s="507"/>
      <c r="C39" s="143" t="s">
        <v>689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</row>
    <row r="40" spans="1:20" s="85" customFormat="1" ht="13.5" customHeight="1">
      <c r="A40" s="541" t="s">
        <v>543</v>
      </c>
      <c r="B40" s="536" t="s">
        <v>518</v>
      </c>
      <c r="C40" s="234" t="s">
        <v>702</v>
      </c>
      <c r="D40" s="140">
        <f>SUM(D43,D46,D49,D52)+SUM('表32(續3)'!D7,'表32(續3)'!D10)</f>
        <v>98</v>
      </c>
      <c r="E40" s="56">
        <f>SUM(E43,E46,E49,E52)+SUM('表32(續3)'!E7,'表32(續3)'!E10)</f>
        <v>97</v>
      </c>
      <c r="F40" s="56">
        <f>SUM(F43,F46,F49,F52)+SUM('表32(續3)'!F7,'表32(續3)'!F10)</f>
        <v>1</v>
      </c>
      <c r="G40" s="56">
        <v>29</v>
      </c>
      <c r="H40" s="56">
        <f>SUM(H43,H46,H49,H52)+SUM('表32(續3)'!H7,'表32(續3)'!H10)</f>
        <v>0</v>
      </c>
      <c r="I40" s="56">
        <f>SUM(I43,I46,I49,I52)+SUM('表32(續3)'!I7,'表32(續3)'!I10)</f>
        <v>3</v>
      </c>
      <c r="J40" s="56">
        <f>SUM(J43,J46,J49,J52)+SUM('表32(續3)'!J7,'表32(續3)'!J10)</f>
        <v>58</v>
      </c>
      <c r="K40" s="56">
        <f>SUM(K43,K46,K49,K52)+SUM('表32(續3)'!K7,'表32(續3)'!K10)</f>
        <v>32</v>
      </c>
      <c r="L40" s="56">
        <f>SUM(L43,L46,L49,L52)+SUM('表32(續3)'!L7,'表32(續3)'!L10)</f>
        <v>5</v>
      </c>
      <c r="M40" s="56">
        <f>SUM(M43,M46,M49,M52)+SUM('表32(續3)'!M7,'表32(續3)'!M10)</f>
        <v>0</v>
      </c>
      <c r="N40" s="56">
        <f>SUM(N43,N46,N49,N52)+SUM('表32(續3)'!N7,'表32(續3)'!N10)</f>
        <v>0</v>
      </c>
      <c r="O40" s="56">
        <f>SUM(O43,O46,O49,O52)+SUM('表32(續3)'!O7,'表32(續3)'!O10)</f>
        <v>0</v>
      </c>
      <c r="P40" s="56">
        <f>SUM(P43,P46,P49,P52)+SUM('表32(續3)'!P7,'表32(續3)'!P10)</f>
        <v>0</v>
      </c>
      <c r="Q40" s="56">
        <f>SUM(Q43,Q46,Q49,Q52)+SUM('表32(續3)'!Q7,'表32(續3)'!Q10)</f>
        <v>17</v>
      </c>
      <c r="R40" s="56">
        <f>SUM(R43,R46,R49,R52)+SUM('表32(續3)'!R7,'表32(續3)'!R10)</f>
        <v>71</v>
      </c>
      <c r="S40" s="56">
        <f>SUM(S43,S46,S49,S52)+SUM('表32(續3)'!S7,'表32(續3)'!S10)</f>
        <v>2</v>
      </c>
      <c r="T40" s="56">
        <f>SUM(T43,T46,T49,T52)+SUM('表32(續3)'!T7,'表32(續3)'!T10)</f>
        <v>0</v>
      </c>
    </row>
    <row r="41" spans="1:20" s="85" customFormat="1" ht="13.5" customHeight="1">
      <c r="A41" s="542"/>
      <c r="B41" s="492"/>
      <c r="C41" s="124" t="s">
        <v>703</v>
      </c>
      <c r="D41" s="24">
        <f>SUM(D44,D47,D50,D53)+SUM('表32(續3)'!D8,'表32(續3)'!D11)</f>
        <v>71</v>
      </c>
      <c r="E41" s="10">
        <f>SUM(E44,E47,E50,E53)+SUM('表32(續3)'!E8,'表32(續3)'!E11)</f>
        <v>71</v>
      </c>
      <c r="F41" s="10">
        <f>SUM(F44,F47,F50,F53)+SUM('表32(續3)'!F8,'表32(續3)'!F11)</f>
        <v>0</v>
      </c>
      <c r="G41" s="10">
        <v>29</v>
      </c>
      <c r="H41" s="10">
        <f>SUM(H44,H47,H50,H53)+SUM('表32(續3)'!H8,'表32(續3)'!H11)</f>
        <v>0</v>
      </c>
      <c r="I41" s="10">
        <f>SUM(I44,I47,I50,I53)+SUM('表32(續3)'!I8,'表32(續3)'!I11)</f>
        <v>0</v>
      </c>
      <c r="J41" s="10">
        <f>SUM(J44,J47,J50,J53)+SUM('表32(續3)'!J8,'表32(續3)'!J11)</f>
        <v>40</v>
      </c>
      <c r="K41" s="10">
        <f>SUM(K44,K47,K50,K53)+SUM('表32(續3)'!K8,'表32(續3)'!K11)</f>
        <v>26</v>
      </c>
      <c r="L41" s="10">
        <f>SUM(L44,L47,L50,L53)+SUM('表32(續3)'!L8,'表32(續3)'!L11)</f>
        <v>5</v>
      </c>
      <c r="M41" s="10">
        <f>SUM(M44,M47,M50,M53)+SUM('表32(續3)'!M8,'表32(續3)'!M11)</f>
        <v>0</v>
      </c>
      <c r="N41" s="10">
        <f>SUM(N44,N47,N50,N53)+SUM('表32(續3)'!N8,'表32(續3)'!N11)</f>
        <v>0</v>
      </c>
      <c r="O41" s="10">
        <f>SUM(O44,O47,O50,O53)+SUM('表32(續3)'!O8,'表32(續3)'!O11)</f>
        <v>0</v>
      </c>
      <c r="P41" s="10">
        <f>SUM(P44,P47,P50,P53)+SUM('表32(續3)'!P8,'表32(續3)'!P11)</f>
        <v>0</v>
      </c>
      <c r="Q41" s="10">
        <f>SUM(Q44,Q47,Q50,Q53)+SUM('表32(續3)'!Q8,'表32(續3)'!Q11)</f>
        <v>13</v>
      </c>
      <c r="R41" s="10">
        <f>SUM(R44,R47,R50,R53)+SUM('表32(續3)'!R8,'表32(續3)'!R11)</f>
        <v>53</v>
      </c>
      <c r="S41" s="10">
        <f>SUM(S44,S47,S50,S53)+SUM('表32(續3)'!S8,'表32(續3)'!S11)</f>
        <v>1</v>
      </c>
      <c r="T41" s="10">
        <f>SUM(T44,T47,T50,T53)+SUM('表32(續3)'!T8,'表32(續3)'!T11)</f>
        <v>0</v>
      </c>
    </row>
    <row r="42" spans="1:20" s="85" customFormat="1" ht="13.5" customHeight="1">
      <c r="A42" s="542"/>
      <c r="B42" s="493"/>
      <c r="C42" s="235" t="s">
        <v>704</v>
      </c>
      <c r="D42" s="24">
        <f>SUM(D45,D48,D51,D54)+SUM('表32(續3)'!D9,'表32(續3)'!D12)</f>
        <v>27</v>
      </c>
      <c r="E42" s="10">
        <f>SUM(E45,E48,E51,E54)+SUM('表32(續3)'!E9,'表32(續3)'!E12)</f>
        <v>26</v>
      </c>
      <c r="F42" s="59">
        <v>1</v>
      </c>
      <c r="G42" s="10">
        <v>28</v>
      </c>
      <c r="H42" s="58">
        <v>0</v>
      </c>
      <c r="I42" s="58">
        <v>3</v>
      </c>
      <c r="J42" s="58">
        <v>18</v>
      </c>
      <c r="K42" s="58">
        <v>6</v>
      </c>
      <c r="L42" s="58">
        <v>0</v>
      </c>
      <c r="M42" s="58">
        <v>0</v>
      </c>
      <c r="N42" s="58">
        <v>0</v>
      </c>
      <c r="O42" s="58">
        <v>0</v>
      </c>
      <c r="P42" s="59">
        <v>0</v>
      </c>
      <c r="Q42" s="59">
        <v>4</v>
      </c>
      <c r="R42" s="59">
        <v>18</v>
      </c>
      <c r="S42" s="59">
        <v>1</v>
      </c>
      <c r="T42" s="49">
        <v>0</v>
      </c>
    </row>
    <row r="43" spans="1:20" s="85" customFormat="1" ht="13.5" customHeight="1">
      <c r="A43" s="542"/>
      <c r="B43" s="492" t="s">
        <v>520</v>
      </c>
      <c r="C43" s="234" t="s">
        <v>702</v>
      </c>
      <c r="D43" s="54">
        <f>SUM(D44:D45)</f>
        <v>8</v>
      </c>
      <c r="E43" s="55">
        <f>SUM(E44:E45)</f>
        <v>8</v>
      </c>
      <c r="F43" s="55">
        <f>SUM(F44:F45)</f>
        <v>0</v>
      </c>
      <c r="G43" s="55">
        <f>SUM(G44:G45)/2</f>
        <v>28</v>
      </c>
      <c r="H43" s="55">
        <f aca="true" t="shared" si="7" ref="H43:T43">SUM(H44:H45)</f>
        <v>0</v>
      </c>
      <c r="I43" s="55">
        <f t="shared" si="7"/>
        <v>0</v>
      </c>
      <c r="J43" s="55">
        <f t="shared" si="7"/>
        <v>6</v>
      </c>
      <c r="K43" s="55">
        <f t="shared" si="7"/>
        <v>2</v>
      </c>
      <c r="L43" s="55">
        <f t="shared" si="7"/>
        <v>0</v>
      </c>
      <c r="M43" s="55">
        <f t="shared" si="7"/>
        <v>0</v>
      </c>
      <c r="N43" s="55">
        <f t="shared" si="7"/>
        <v>0</v>
      </c>
      <c r="O43" s="55">
        <f t="shared" si="7"/>
        <v>0</v>
      </c>
      <c r="P43" s="55">
        <f t="shared" si="7"/>
        <v>0</v>
      </c>
      <c r="Q43" s="55">
        <f t="shared" si="7"/>
        <v>0</v>
      </c>
      <c r="R43" s="55">
        <f t="shared" si="7"/>
        <v>0</v>
      </c>
      <c r="S43" s="55">
        <f t="shared" si="7"/>
        <v>0</v>
      </c>
      <c r="T43" s="55">
        <f t="shared" si="7"/>
        <v>0</v>
      </c>
    </row>
    <row r="44" spans="1:20" s="85" customFormat="1" ht="13.5" customHeight="1">
      <c r="A44" s="546"/>
      <c r="B44" s="492"/>
      <c r="C44" s="124" t="s">
        <v>703</v>
      </c>
      <c r="D44" s="24">
        <v>4</v>
      </c>
      <c r="E44" s="10">
        <v>4</v>
      </c>
      <c r="F44" s="10">
        <v>0</v>
      </c>
      <c r="G44" s="10">
        <v>28</v>
      </c>
      <c r="H44" s="10">
        <v>0</v>
      </c>
      <c r="I44" s="10">
        <v>0</v>
      </c>
      <c r="J44" s="10">
        <v>2</v>
      </c>
      <c r="K44" s="10">
        <v>2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49">
        <v>0</v>
      </c>
    </row>
    <row r="45" spans="1:20" s="85" customFormat="1" ht="13.5" customHeight="1">
      <c r="A45" s="542"/>
      <c r="B45" s="492"/>
      <c r="C45" s="235" t="s">
        <v>704</v>
      </c>
      <c r="D45" s="24">
        <v>4</v>
      </c>
      <c r="E45" s="10">
        <v>4</v>
      </c>
      <c r="F45" s="10">
        <v>0</v>
      </c>
      <c r="G45" s="10">
        <v>28</v>
      </c>
      <c r="H45" s="10">
        <v>0</v>
      </c>
      <c r="I45" s="10">
        <v>0</v>
      </c>
      <c r="J45" s="10">
        <v>4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49">
        <v>0</v>
      </c>
    </row>
    <row r="46" spans="1:20" s="85" customFormat="1" ht="13.5" customHeight="1">
      <c r="A46" s="542"/>
      <c r="B46" s="491" t="s">
        <v>521</v>
      </c>
      <c r="C46" s="234" t="s">
        <v>702</v>
      </c>
      <c r="D46" s="54">
        <f aca="true" t="shared" si="8" ref="D46:T46">SUM(D47:D48)</f>
        <v>1</v>
      </c>
      <c r="E46" s="55">
        <f t="shared" si="8"/>
        <v>0</v>
      </c>
      <c r="F46" s="55">
        <f t="shared" si="8"/>
        <v>1</v>
      </c>
      <c r="G46" s="55">
        <f t="shared" si="8"/>
        <v>26</v>
      </c>
      <c r="H46" s="55">
        <f t="shared" si="8"/>
        <v>0</v>
      </c>
      <c r="I46" s="55">
        <f t="shared" si="8"/>
        <v>1</v>
      </c>
      <c r="J46" s="55">
        <f t="shared" si="8"/>
        <v>0</v>
      </c>
      <c r="K46" s="55">
        <f t="shared" si="8"/>
        <v>0</v>
      </c>
      <c r="L46" s="55">
        <f t="shared" si="8"/>
        <v>0</v>
      </c>
      <c r="M46" s="55">
        <f t="shared" si="8"/>
        <v>0</v>
      </c>
      <c r="N46" s="55">
        <f t="shared" si="8"/>
        <v>0</v>
      </c>
      <c r="O46" s="55">
        <f t="shared" si="8"/>
        <v>0</v>
      </c>
      <c r="P46" s="55">
        <f t="shared" si="8"/>
        <v>0</v>
      </c>
      <c r="Q46" s="55">
        <f t="shared" si="8"/>
        <v>0</v>
      </c>
      <c r="R46" s="55">
        <f t="shared" si="8"/>
        <v>1</v>
      </c>
      <c r="S46" s="55">
        <f t="shared" si="8"/>
        <v>0</v>
      </c>
      <c r="T46" s="55">
        <f t="shared" si="8"/>
        <v>0</v>
      </c>
    </row>
    <row r="47" spans="1:20" s="85" customFormat="1" ht="13.5" customHeight="1">
      <c r="A47" s="538" t="s">
        <v>544</v>
      </c>
      <c r="B47" s="492"/>
      <c r="C47" s="124" t="s">
        <v>703</v>
      </c>
      <c r="D47" s="24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49">
        <v>0</v>
      </c>
    </row>
    <row r="48" spans="1:20" s="85" customFormat="1" ht="13.5" customHeight="1">
      <c r="A48" s="538"/>
      <c r="B48" s="493"/>
      <c r="C48" s="235" t="s">
        <v>704</v>
      </c>
      <c r="D48" s="24">
        <v>1</v>
      </c>
      <c r="E48" s="10">
        <v>0</v>
      </c>
      <c r="F48" s="10">
        <v>1</v>
      </c>
      <c r="G48" s="10">
        <v>26</v>
      </c>
      <c r="H48" s="10">
        <v>0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</v>
      </c>
      <c r="S48" s="10">
        <v>0</v>
      </c>
      <c r="T48" s="49">
        <v>0</v>
      </c>
    </row>
    <row r="49" spans="1:20" s="93" customFormat="1" ht="13.5" customHeight="1">
      <c r="A49" s="538"/>
      <c r="B49" s="491" t="s">
        <v>522</v>
      </c>
      <c r="C49" s="234" t="s">
        <v>702</v>
      </c>
      <c r="D49" s="54">
        <f>SUM(D50:D51)</f>
        <v>20</v>
      </c>
      <c r="E49" s="55">
        <f>SUM(E50:E51)</f>
        <v>20</v>
      </c>
      <c r="F49" s="55">
        <f>SUM(F50:F51)</f>
        <v>0</v>
      </c>
      <c r="G49" s="55">
        <f>SUM(G50:G51)/2</f>
        <v>27</v>
      </c>
      <c r="H49" s="55">
        <f aca="true" t="shared" si="9" ref="H49:T49">SUM(H50:H51)</f>
        <v>0</v>
      </c>
      <c r="I49" s="55">
        <f t="shared" si="9"/>
        <v>0</v>
      </c>
      <c r="J49" s="55">
        <f t="shared" si="9"/>
        <v>19</v>
      </c>
      <c r="K49" s="55">
        <f t="shared" si="9"/>
        <v>1</v>
      </c>
      <c r="L49" s="55">
        <f t="shared" si="9"/>
        <v>0</v>
      </c>
      <c r="M49" s="55">
        <f t="shared" si="9"/>
        <v>0</v>
      </c>
      <c r="N49" s="55">
        <f t="shared" si="9"/>
        <v>0</v>
      </c>
      <c r="O49" s="55">
        <f t="shared" si="9"/>
        <v>0</v>
      </c>
      <c r="P49" s="55">
        <f t="shared" si="9"/>
        <v>0</v>
      </c>
      <c r="Q49" s="55">
        <f t="shared" si="9"/>
        <v>0</v>
      </c>
      <c r="R49" s="55">
        <f t="shared" si="9"/>
        <v>20</v>
      </c>
      <c r="S49" s="55">
        <f t="shared" si="9"/>
        <v>0</v>
      </c>
      <c r="T49" s="55">
        <f t="shared" si="9"/>
        <v>0</v>
      </c>
    </row>
    <row r="50" spans="1:20" s="93" customFormat="1" ht="13.5" customHeight="1">
      <c r="A50" s="538"/>
      <c r="B50" s="492"/>
      <c r="C50" s="124" t="s">
        <v>703</v>
      </c>
      <c r="D50" s="24">
        <v>17</v>
      </c>
      <c r="E50" s="10">
        <v>17</v>
      </c>
      <c r="F50" s="10">
        <v>0</v>
      </c>
      <c r="G50" s="10">
        <v>27</v>
      </c>
      <c r="H50" s="10">
        <v>0</v>
      </c>
      <c r="I50" s="10">
        <v>0</v>
      </c>
      <c r="J50" s="10">
        <v>16</v>
      </c>
      <c r="K50" s="10">
        <v>1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17</v>
      </c>
      <c r="S50" s="10">
        <v>0</v>
      </c>
      <c r="T50" s="10">
        <v>0</v>
      </c>
    </row>
    <row r="51" spans="1:20" s="93" customFormat="1" ht="13.5" customHeight="1">
      <c r="A51" s="538"/>
      <c r="B51" s="493"/>
      <c r="C51" s="235" t="s">
        <v>704</v>
      </c>
      <c r="D51" s="24">
        <v>3</v>
      </c>
      <c r="E51" s="10">
        <v>3</v>
      </c>
      <c r="F51" s="10">
        <v>0</v>
      </c>
      <c r="G51" s="10">
        <v>27</v>
      </c>
      <c r="H51" s="10">
        <v>0</v>
      </c>
      <c r="I51" s="10">
        <v>0</v>
      </c>
      <c r="J51" s="10">
        <v>3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3</v>
      </c>
      <c r="S51" s="10">
        <v>0</v>
      </c>
      <c r="T51" s="10">
        <v>0</v>
      </c>
    </row>
    <row r="52" spans="1:20" s="93" customFormat="1" ht="13.5" customHeight="1">
      <c r="A52" s="538"/>
      <c r="B52" s="507" t="s">
        <v>534</v>
      </c>
      <c r="C52" s="234" t="s">
        <v>702</v>
      </c>
      <c r="D52" s="54">
        <f aca="true" t="shared" si="10" ref="D52:T52">SUM(D53:D54)</f>
        <v>1</v>
      </c>
      <c r="E52" s="55">
        <f t="shared" si="10"/>
        <v>1</v>
      </c>
      <c r="F52" s="55">
        <f t="shared" si="10"/>
        <v>0</v>
      </c>
      <c r="G52" s="55">
        <f t="shared" si="10"/>
        <v>36</v>
      </c>
      <c r="H52" s="55">
        <f t="shared" si="10"/>
        <v>0</v>
      </c>
      <c r="I52" s="55">
        <f t="shared" si="10"/>
        <v>0</v>
      </c>
      <c r="J52" s="55">
        <f t="shared" si="10"/>
        <v>0</v>
      </c>
      <c r="K52" s="55">
        <f t="shared" si="10"/>
        <v>0</v>
      </c>
      <c r="L52" s="55">
        <f t="shared" si="10"/>
        <v>1</v>
      </c>
      <c r="M52" s="55">
        <f t="shared" si="10"/>
        <v>0</v>
      </c>
      <c r="N52" s="55">
        <f t="shared" si="10"/>
        <v>0</v>
      </c>
      <c r="O52" s="55">
        <f t="shared" si="10"/>
        <v>0</v>
      </c>
      <c r="P52" s="55">
        <f t="shared" si="10"/>
        <v>0</v>
      </c>
      <c r="Q52" s="55">
        <f t="shared" si="10"/>
        <v>0</v>
      </c>
      <c r="R52" s="55">
        <f t="shared" si="10"/>
        <v>1</v>
      </c>
      <c r="S52" s="55">
        <f t="shared" si="10"/>
        <v>0</v>
      </c>
      <c r="T52" s="55">
        <f t="shared" si="10"/>
        <v>0</v>
      </c>
    </row>
    <row r="53" spans="1:20" s="93" customFormat="1" ht="13.5" customHeight="1">
      <c r="A53" s="538"/>
      <c r="B53" s="516"/>
      <c r="C53" s="124" t="s">
        <v>703</v>
      </c>
      <c r="D53" s="24">
        <v>1</v>
      </c>
      <c r="E53" s="10">
        <v>1</v>
      </c>
      <c r="F53" s="10">
        <v>0</v>
      </c>
      <c r="G53" s="10">
        <v>36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</row>
    <row r="54" spans="1:20" s="93" customFormat="1" ht="13.5" customHeight="1">
      <c r="A54" s="538"/>
      <c r="B54" s="517"/>
      <c r="C54" s="124" t="s">
        <v>704</v>
      </c>
      <c r="D54" s="24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7" spans="1:20" ht="15.75">
      <c r="A57" s="535" t="str">
        <f>"- "&amp;Sheet1!F33&amp;" -"</f>
        <v>- 198 -</v>
      </c>
      <c r="B57" s="535"/>
      <c r="C57" s="535"/>
      <c r="D57" s="535"/>
      <c r="E57" s="535"/>
      <c r="F57" s="535"/>
      <c r="G57" s="535"/>
      <c r="H57" s="535"/>
      <c r="I57" s="535"/>
      <c r="J57" s="535"/>
      <c r="K57" s="535" t="str">
        <f>"- "&amp;Sheet1!G33&amp;" -"</f>
        <v>- 199 -</v>
      </c>
      <c r="L57" s="535"/>
      <c r="M57" s="535"/>
      <c r="N57" s="535"/>
      <c r="O57" s="535"/>
      <c r="P57" s="535"/>
      <c r="Q57" s="535"/>
      <c r="R57" s="535"/>
      <c r="S57" s="535"/>
      <c r="T57" s="535"/>
    </row>
    <row r="58" spans="1:20" ht="15.75">
      <c r="A58" s="63"/>
      <c r="B58" s="63"/>
      <c r="C58" s="63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</sheetData>
  <sheetProtection/>
  <mergeCells count="37">
    <mergeCell ref="B7:B9"/>
    <mergeCell ref="B13:B15"/>
    <mergeCell ref="K57:T57"/>
    <mergeCell ref="B43:B45"/>
    <mergeCell ref="B46:B48"/>
    <mergeCell ref="B49:B51"/>
    <mergeCell ref="B52:B54"/>
    <mergeCell ref="A57:J57"/>
    <mergeCell ref="A40:A46"/>
    <mergeCell ref="A47:A54"/>
    <mergeCell ref="A17:A27"/>
    <mergeCell ref="B31:B33"/>
    <mergeCell ref="B40:B42"/>
    <mergeCell ref="B25:B27"/>
    <mergeCell ref="B28:B30"/>
    <mergeCell ref="B19:B21"/>
    <mergeCell ref="B22:B24"/>
    <mergeCell ref="L3:S3"/>
    <mergeCell ref="K1:T1"/>
    <mergeCell ref="A5:C6"/>
    <mergeCell ref="Q5:T5"/>
    <mergeCell ref="K5:P5"/>
    <mergeCell ref="B16:B18"/>
    <mergeCell ref="B10:B12"/>
    <mergeCell ref="A1:J1"/>
    <mergeCell ref="H5:J5"/>
    <mergeCell ref="C3:I3"/>
    <mergeCell ref="E5:E6"/>
    <mergeCell ref="D5:D6"/>
    <mergeCell ref="F5:F6"/>
    <mergeCell ref="G5:G6"/>
    <mergeCell ref="A7:A16"/>
    <mergeCell ref="B37:B39"/>
    <mergeCell ref="A37:A39"/>
    <mergeCell ref="A28:A32"/>
    <mergeCell ref="A33:A36"/>
    <mergeCell ref="B34:B36"/>
  </mergeCells>
  <printOptions/>
  <pageMargins left="0.6299212598425197" right="0.3937007874015748" top="0" bottom="0" header="0.5118110236220472" footer="0.7086614173228347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55"/>
  <sheetViews>
    <sheetView view="pageLayout" zoomScaleSheetLayoutView="85" workbookViewId="0" topLeftCell="A32">
      <selection activeCell="A55" sqref="A55:J55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1" width="8.50390625" style="89" customWidth="1"/>
    <col min="12" max="17" width="8.625" style="89" customWidth="1"/>
    <col min="18" max="18" width="9.875" style="89" customWidth="1"/>
    <col min="19" max="19" width="9.75390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545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213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712</v>
      </c>
      <c r="K3" s="61"/>
      <c r="L3" s="461" t="s">
        <v>517</v>
      </c>
      <c r="M3" s="461"/>
      <c r="N3" s="461"/>
      <c r="O3" s="461"/>
      <c r="P3" s="461"/>
      <c r="Q3" s="461"/>
      <c r="R3" s="461"/>
      <c r="S3" s="461"/>
      <c r="T3" s="138" t="s">
        <v>697</v>
      </c>
    </row>
    <row r="4" spans="1:20" s="60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90" customFormat="1" ht="30" customHeight="1">
      <c r="A5" s="509"/>
      <c r="B5" s="509"/>
      <c r="C5" s="488"/>
      <c r="D5" s="507" t="s">
        <v>713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27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19" t="s">
        <v>711</v>
      </c>
    </row>
    <row r="7" spans="1:45" s="93" customFormat="1" ht="13.5" customHeight="1">
      <c r="A7" s="552"/>
      <c r="B7" s="507" t="s">
        <v>536</v>
      </c>
      <c r="C7" s="141" t="s">
        <v>702</v>
      </c>
      <c r="D7" s="56">
        <f>SUM(D8:D9)</f>
        <v>36</v>
      </c>
      <c r="E7" s="56">
        <f>SUM(E8:E9)</f>
        <v>36</v>
      </c>
      <c r="F7" s="56">
        <f>SUM(F8:F9)</f>
        <v>0</v>
      </c>
      <c r="G7" s="56">
        <v>29</v>
      </c>
      <c r="H7" s="56">
        <f aca="true" t="shared" si="0" ref="H7:T7">SUM(H8:H9)</f>
        <v>0</v>
      </c>
      <c r="I7" s="56">
        <f t="shared" si="0"/>
        <v>2</v>
      </c>
      <c r="J7" s="56">
        <f t="shared" si="0"/>
        <v>19</v>
      </c>
      <c r="K7" s="56">
        <f t="shared" si="0"/>
        <v>13</v>
      </c>
      <c r="L7" s="56">
        <f t="shared" si="0"/>
        <v>2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6</v>
      </c>
      <c r="R7" s="56">
        <f t="shared" si="0"/>
        <v>30</v>
      </c>
      <c r="S7" s="56">
        <f t="shared" si="0"/>
        <v>0</v>
      </c>
      <c r="T7" s="56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53"/>
      <c r="B8" s="516"/>
      <c r="C8" s="143" t="s">
        <v>703</v>
      </c>
      <c r="D8" s="10">
        <v>27</v>
      </c>
      <c r="E8" s="10">
        <v>27</v>
      </c>
      <c r="F8" s="10">
        <v>0</v>
      </c>
      <c r="G8" s="10">
        <v>29</v>
      </c>
      <c r="H8" s="10">
        <v>0</v>
      </c>
      <c r="I8" s="10">
        <v>0</v>
      </c>
      <c r="J8" s="10">
        <v>13</v>
      </c>
      <c r="K8" s="10">
        <v>12</v>
      </c>
      <c r="L8" s="10">
        <v>2</v>
      </c>
      <c r="M8" s="10">
        <v>0</v>
      </c>
      <c r="N8" s="10">
        <v>0</v>
      </c>
      <c r="O8" s="10">
        <v>0</v>
      </c>
      <c r="P8" s="10">
        <v>0</v>
      </c>
      <c r="Q8" s="10">
        <v>5</v>
      </c>
      <c r="R8" s="10">
        <v>22</v>
      </c>
      <c r="S8" s="10">
        <v>0</v>
      </c>
      <c r="T8" s="10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53"/>
      <c r="B9" s="517"/>
      <c r="C9" s="144" t="s">
        <v>704</v>
      </c>
      <c r="D9" s="10">
        <v>9</v>
      </c>
      <c r="E9" s="10">
        <v>9</v>
      </c>
      <c r="F9" s="10">
        <v>0</v>
      </c>
      <c r="G9" s="10">
        <v>27</v>
      </c>
      <c r="H9" s="10">
        <v>0</v>
      </c>
      <c r="I9" s="10">
        <v>2</v>
      </c>
      <c r="J9" s="10">
        <v>6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</v>
      </c>
      <c r="R9" s="10">
        <v>8</v>
      </c>
      <c r="S9" s="10">
        <v>0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554"/>
      <c r="B10" s="491" t="s">
        <v>537</v>
      </c>
      <c r="C10" s="141" t="s">
        <v>702</v>
      </c>
      <c r="D10" s="55">
        <f aca="true" t="shared" si="1" ref="D10:T10">SUM(D11:D12)</f>
        <v>32</v>
      </c>
      <c r="E10" s="55">
        <f t="shared" si="1"/>
        <v>32</v>
      </c>
      <c r="F10" s="55">
        <f t="shared" si="1"/>
        <v>0</v>
      </c>
      <c r="G10" s="55">
        <v>29</v>
      </c>
      <c r="H10" s="55">
        <f t="shared" si="1"/>
        <v>0</v>
      </c>
      <c r="I10" s="55">
        <f t="shared" si="1"/>
        <v>0</v>
      </c>
      <c r="J10" s="55">
        <f t="shared" si="1"/>
        <v>14</v>
      </c>
      <c r="K10" s="55">
        <f t="shared" si="1"/>
        <v>16</v>
      </c>
      <c r="L10" s="55">
        <f t="shared" si="1"/>
        <v>2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11</v>
      </c>
      <c r="R10" s="55">
        <f t="shared" si="1"/>
        <v>19</v>
      </c>
      <c r="S10" s="55">
        <f t="shared" si="1"/>
        <v>2</v>
      </c>
      <c r="T10" s="55">
        <f t="shared" si="1"/>
        <v>0</v>
      </c>
    </row>
    <row r="11" spans="1:20" s="93" customFormat="1" ht="13.5" customHeight="1">
      <c r="A11" s="554"/>
      <c r="B11" s="492"/>
      <c r="C11" s="143" t="s">
        <v>703</v>
      </c>
      <c r="D11" s="49">
        <v>22</v>
      </c>
      <c r="E11" s="49">
        <v>22</v>
      </c>
      <c r="F11" s="58">
        <v>0</v>
      </c>
      <c r="G11" s="49">
        <v>30</v>
      </c>
      <c r="H11" s="49">
        <v>0</v>
      </c>
      <c r="I11" s="49">
        <v>0</v>
      </c>
      <c r="J11" s="59">
        <v>9</v>
      </c>
      <c r="K11" s="58">
        <v>11</v>
      </c>
      <c r="L11" s="58">
        <v>2</v>
      </c>
      <c r="M11" s="58">
        <v>0</v>
      </c>
      <c r="N11" s="58">
        <v>0</v>
      </c>
      <c r="O11" s="58">
        <v>0</v>
      </c>
      <c r="P11" s="58">
        <v>0</v>
      </c>
      <c r="Q11" s="58">
        <v>8</v>
      </c>
      <c r="R11" s="58">
        <v>13</v>
      </c>
      <c r="S11" s="58">
        <v>1</v>
      </c>
      <c r="T11" s="58">
        <v>0</v>
      </c>
    </row>
    <row r="12" spans="1:20" s="93" customFormat="1" ht="13.5" customHeight="1">
      <c r="A12" s="555"/>
      <c r="B12" s="492"/>
      <c r="C12" s="143" t="s">
        <v>704</v>
      </c>
      <c r="D12" s="49">
        <v>10</v>
      </c>
      <c r="E12" s="49">
        <v>10</v>
      </c>
      <c r="F12" s="58">
        <v>0</v>
      </c>
      <c r="G12" s="49">
        <v>29</v>
      </c>
      <c r="H12" s="49">
        <v>0</v>
      </c>
      <c r="I12" s="49">
        <v>0</v>
      </c>
      <c r="J12" s="59">
        <v>5</v>
      </c>
      <c r="K12" s="58">
        <v>5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3</v>
      </c>
      <c r="R12" s="58">
        <v>6</v>
      </c>
      <c r="S12" s="58">
        <v>1</v>
      </c>
      <c r="T12" s="58">
        <v>0</v>
      </c>
    </row>
    <row r="13" spans="1:20" s="93" customFormat="1" ht="13.5" customHeight="1">
      <c r="A13" s="541" t="s">
        <v>119</v>
      </c>
      <c r="B13" s="536" t="s">
        <v>518</v>
      </c>
      <c r="C13" s="141" t="s">
        <v>702</v>
      </c>
      <c r="D13" s="56">
        <v>641</v>
      </c>
      <c r="E13" s="56">
        <v>638</v>
      </c>
      <c r="F13" s="56">
        <v>3</v>
      </c>
      <c r="G13" s="56">
        <v>28</v>
      </c>
      <c r="H13" s="56">
        <v>0</v>
      </c>
      <c r="I13" s="56">
        <v>9</v>
      </c>
      <c r="J13" s="56">
        <v>387</v>
      </c>
      <c r="K13" s="56">
        <v>245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72</v>
      </c>
      <c r="R13" s="56">
        <v>429</v>
      </c>
      <c r="S13" s="56">
        <v>0</v>
      </c>
      <c r="T13" s="56">
        <v>0</v>
      </c>
    </row>
    <row r="14" spans="1:20" s="93" customFormat="1" ht="13.5" customHeight="1">
      <c r="A14" s="542"/>
      <c r="B14" s="492"/>
      <c r="C14" s="143" t="s">
        <v>703</v>
      </c>
      <c r="D14" s="49">
        <v>432</v>
      </c>
      <c r="E14" s="49">
        <v>430</v>
      </c>
      <c r="F14" s="58">
        <v>2</v>
      </c>
      <c r="G14" s="49">
        <v>29</v>
      </c>
      <c r="H14" s="49">
        <v>0</v>
      </c>
      <c r="I14" s="49">
        <v>1</v>
      </c>
      <c r="J14" s="59">
        <v>232</v>
      </c>
      <c r="K14" s="58">
        <v>199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42</v>
      </c>
      <c r="R14" s="58">
        <v>269</v>
      </c>
      <c r="S14" s="58">
        <v>0</v>
      </c>
      <c r="T14" s="62">
        <v>0</v>
      </c>
    </row>
    <row r="15" spans="1:20" s="93" customFormat="1" ht="13.5" customHeight="1">
      <c r="A15" s="542"/>
      <c r="B15" s="493"/>
      <c r="C15" s="144" t="s">
        <v>704</v>
      </c>
      <c r="D15" s="49">
        <v>209</v>
      </c>
      <c r="E15" s="49">
        <v>208</v>
      </c>
      <c r="F15" s="58">
        <v>1</v>
      </c>
      <c r="G15" s="49">
        <v>27</v>
      </c>
      <c r="H15" s="49">
        <v>0</v>
      </c>
      <c r="I15" s="49">
        <v>8</v>
      </c>
      <c r="J15" s="59">
        <v>155</v>
      </c>
      <c r="K15" s="58">
        <v>46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30</v>
      </c>
      <c r="R15" s="58">
        <v>160</v>
      </c>
      <c r="S15" s="58">
        <v>0</v>
      </c>
      <c r="T15" s="62">
        <v>0</v>
      </c>
    </row>
    <row r="16" spans="1:20" s="93" customFormat="1" ht="13.5" customHeight="1">
      <c r="A16" s="542"/>
      <c r="B16" s="491" t="s">
        <v>519</v>
      </c>
      <c r="C16" s="141" t="s">
        <v>702</v>
      </c>
      <c r="D16" s="55">
        <f>SUM(D17:D18)</f>
        <v>59</v>
      </c>
      <c r="E16" s="55">
        <v>59</v>
      </c>
      <c r="F16" s="55">
        <v>0</v>
      </c>
      <c r="G16" s="55">
        <v>29</v>
      </c>
      <c r="H16" s="55">
        <v>0</v>
      </c>
      <c r="I16" s="55">
        <v>2</v>
      </c>
      <c r="J16" s="55">
        <v>30</v>
      </c>
      <c r="K16" s="55">
        <v>27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</row>
    <row r="17" spans="1:20" s="93" customFormat="1" ht="13.5" customHeight="1">
      <c r="A17" s="542"/>
      <c r="B17" s="492"/>
      <c r="C17" s="143" t="s">
        <v>703</v>
      </c>
      <c r="D17" s="49">
        <v>52</v>
      </c>
      <c r="E17" s="49">
        <v>52</v>
      </c>
      <c r="F17" s="49">
        <v>0</v>
      </c>
      <c r="G17" s="49">
        <v>29</v>
      </c>
      <c r="H17" s="49">
        <v>0</v>
      </c>
      <c r="I17" s="49">
        <v>0</v>
      </c>
      <c r="J17" s="49">
        <v>25</v>
      </c>
      <c r="K17" s="49">
        <v>27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</row>
    <row r="18" spans="1:20" s="93" customFormat="1" ht="13.5" customHeight="1">
      <c r="A18" s="542"/>
      <c r="B18" s="492"/>
      <c r="C18" s="144" t="s">
        <v>704</v>
      </c>
      <c r="D18" s="49">
        <v>7</v>
      </c>
      <c r="E18" s="49">
        <v>7</v>
      </c>
      <c r="F18" s="49">
        <v>0</v>
      </c>
      <c r="G18" s="49">
        <v>25</v>
      </c>
      <c r="H18" s="49">
        <v>0</v>
      </c>
      <c r="I18" s="49">
        <v>2</v>
      </c>
      <c r="J18" s="49">
        <v>5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</row>
    <row r="19" spans="1:20" s="93" customFormat="1" ht="13.5" customHeight="1">
      <c r="A19" s="542"/>
      <c r="B19" s="491" t="s">
        <v>520</v>
      </c>
      <c r="C19" s="141" t="s">
        <v>702</v>
      </c>
      <c r="D19" s="55">
        <f>SUM(D20:D21)</f>
        <v>81</v>
      </c>
      <c r="E19" s="55">
        <v>81</v>
      </c>
      <c r="F19" s="55">
        <v>0</v>
      </c>
      <c r="G19" s="55">
        <v>29</v>
      </c>
      <c r="H19" s="55">
        <v>0</v>
      </c>
      <c r="I19" s="55">
        <v>0</v>
      </c>
      <c r="J19" s="55">
        <v>50</v>
      </c>
      <c r="K19" s="55">
        <v>31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</row>
    <row r="20" spans="1:20" s="93" customFormat="1" ht="13.5" customHeight="1">
      <c r="A20" s="542"/>
      <c r="B20" s="492"/>
      <c r="C20" s="143" t="s">
        <v>703</v>
      </c>
      <c r="D20" s="49">
        <v>69</v>
      </c>
      <c r="E20" s="49">
        <v>69</v>
      </c>
      <c r="F20" s="58">
        <v>0</v>
      </c>
      <c r="G20" s="49">
        <v>29</v>
      </c>
      <c r="H20" s="49">
        <v>0</v>
      </c>
      <c r="I20" s="49">
        <v>0</v>
      </c>
      <c r="J20" s="59">
        <v>41</v>
      </c>
      <c r="K20" s="58">
        <v>28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</row>
    <row r="21" spans="1:20" s="93" customFormat="1" ht="13.5" customHeight="1">
      <c r="A21" s="542"/>
      <c r="B21" s="492"/>
      <c r="C21" s="144" t="s">
        <v>704</v>
      </c>
      <c r="D21" s="49">
        <v>12</v>
      </c>
      <c r="E21" s="49">
        <v>12</v>
      </c>
      <c r="F21" s="58">
        <v>0</v>
      </c>
      <c r="G21" s="49">
        <v>27</v>
      </c>
      <c r="H21" s="49">
        <v>0</v>
      </c>
      <c r="I21" s="49">
        <v>0</v>
      </c>
      <c r="J21" s="59">
        <v>9</v>
      </c>
      <c r="K21" s="58">
        <v>3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</row>
    <row r="22" spans="1:20" s="93" customFormat="1" ht="13.5" customHeight="1">
      <c r="A22" s="542"/>
      <c r="B22" s="491" t="s">
        <v>521</v>
      </c>
      <c r="C22" s="141" t="s">
        <v>702</v>
      </c>
      <c r="D22" s="55">
        <f>SUM(D23:D24)</f>
        <v>42</v>
      </c>
      <c r="E22" s="55">
        <f>SUM(E23:E24)</f>
        <v>42</v>
      </c>
      <c r="F22" s="55">
        <f>SUM(F23:F24)</f>
        <v>0</v>
      </c>
      <c r="G22" s="55">
        <f>SUM(G23:G24)/2</f>
        <v>28.5</v>
      </c>
      <c r="H22" s="55">
        <f aca="true" t="shared" si="2" ref="H22:T22">SUM(H23:H24)</f>
        <v>0</v>
      </c>
      <c r="I22" s="55">
        <f t="shared" si="2"/>
        <v>0</v>
      </c>
      <c r="J22" s="55">
        <f t="shared" si="2"/>
        <v>21</v>
      </c>
      <c r="K22" s="55">
        <f t="shared" si="2"/>
        <v>21</v>
      </c>
      <c r="L22" s="55">
        <f t="shared" si="2"/>
        <v>0</v>
      </c>
      <c r="M22" s="55">
        <f t="shared" si="2"/>
        <v>0</v>
      </c>
      <c r="N22" s="55">
        <f t="shared" si="2"/>
        <v>0</v>
      </c>
      <c r="O22" s="55">
        <f t="shared" si="2"/>
        <v>0</v>
      </c>
      <c r="P22" s="55">
        <f t="shared" si="2"/>
        <v>0</v>
      </c>
      <c r="Q22" s="55">
        <f t="shared" si="2"/>
        <v>0</v>
      </c>
      <c r="R22" s="55">
        <f t="shared" si="2"/>
        <v>42</v>
      </c>
      <c r="S22" s="55">
        <f t="shared" si="2"/>
        <v>0</v>
      </c>
      <c r="T22" s="55">
        <f t="shared" si="2"/>
        <v>0</v>
      </c>
    </row>
    <row r="23" spans="1:20" s="93" customFormat="1" ht="13.5" customHeight="1">
      <c r="A23" s="542"/>
      <c r="B23" s="492"/>
      <c r="C23" s="143" t="s">
        <v>703</v>
      </c>
      <c r="D23" s="49">
        <v>36</v>
      </c>
      <c r="E23" s="49">
        <v>36</v>
      </c>
      <c r="F23" s="58">
        <v>0</v>
      </c>
      <c r="G23" s="49">
        <v>29</v>
      </c>
      <c r="H23" s="49">
        <v>0</v>
      </c>
      <c r="I23" s="49">
        <v>0</v>
      </c>
      <c r="J23" s="59">
        <v>18</v>
      </c>
      <c r="K23" s="58">
        <v>18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36</v>
      </c>
      <c r="S23" s="58">
        <v>0</v>
      </c>
      <c r="T23" s="58">
        <v>0</v>
      </c>
    </row>
    <row r="24" spans="1:20" s="93" customFormat="1" ht="13.5" customHeight="1">
      <c r="A24" s="542"/>
      <c r="B24" s="493"/>
      <c r="C24" s="144" t="s">
        <v>704</v>
      </c>
      <c r="D24" s="49">
        <v>6</v>
      </c>
      <c r="E24" s="49">
        <v>6</v>
      </c>
      <c r="F24" s="58">
        <v>0</v>
      </c>
      <c r="G24" s="49">
        <v>28</v>
      </c>
      <c r="H24" s="49">
        <v>0</v>
      </c>
      <c r="I24" s="49">
        <v>0</v>
      </c>
      <c r="J24" s="59">
        <v>3</v>
      </c>
      <c r="K24" s="58">
        <v>3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6</v>
      </c>
      <c r="S24" s="58">
        <v>0</v>
      </c>
      <c r="T24" s="58">
        <v>0</v>
      </c>
    </row>
    <row r="25" spans="1:20" s="93" customFormat="1" ht="13.5" customHeight="1">
      <c r="A25" s="542"/>
      <c r="B25" s="494" t="s">
        <v>522</v>
      </c>
      <c r="C25" s="141" t="s">
        <v>702</v>
      </c>
      <c r="D25" s="55">
        <f>SUM(D26:D27)</f>
        <v>42</v>
      </c>
      <c r="E25" s="55">
        <f>SUM(E26:E27)</f>
        <v>42</v>
      </c>
      <c r="F25" s="55">
        <f>SUM(F26:F27)</f>
        <v>0</v>
      </c>
      <c r="G25" s="55">
        <f>SUM(G26:G27)/2</f>
        <v>28</v>
      </c>
      <c r="H25" s="55">
        <f aca="true" t="shared" si="3" ref="H25:T25">SUM(H26:H27)</f>
        <v>0</v>
      </c>
      <c r="I25" s="55">
        <f t="shared" si="3"/>
        <v>1</v>
      </c>
      <c r="J25" s="55">
        <f t="shared" si="3"/>
        <v>22</v>
      </c>
      <c r="K25" s="55">
        <f t="shared" si="3"/>
        <v>19</v>
      </c>
      <c r="L25" s="55">
        <f t="shared" si="3"/>
        <v>0</v>
      </c>
      <c r="M25" s="55">
        <f t="shared" si="3"/>
        <v>0</v>
      </c>
      <c r="N25" s="55">
        <f t="shared" si="3"/>
        <v>0</v>
      </c>
      <c r="O25" s="55">
        <f t="shared" si="3"/>
        <v>0</v>
      </c>
      <c r="P25" s="55">
        <f t="shared" si="3"/>
        <v>0</v>
      </c>
      <c r="Q25" s="55">
        <f t="shared" si="3"/>
        <v>0</v>
      </c>
      <c r="R25" s="55">
        <f t="shared" si="3"/>
        <v>42</v>
      </c>
      <c r="S25" s="55">
        <f t="shared" si="3"/>
        <v>0</v>
      </c>
      <c r="T25" s="55">
        <f t="shared" si="3"/>
        <v>0</v>
      </c>
    </row>
    <row r="26" spans="1:20" s="93" customFormat="1" ht="13.5" customHeight="1">
      <c r="A26" s="542"/>
      <c r="B26" s="494"/>
      <c r="C26" s="143" t="s">
        <v>703</v>
      </c>
      <c r="D26" s="49">
        <v>29</v>
      </c>
      <c r="E26" s="49">
        <v>29</v>
      </c>
      <c r="F26" s="58">
        <v>0</v>
      </c>
      <c r="G26" s="49">
        <v>29</v>
      </c>
      <c r="H26" s="49">
        <v>0</v>
      </c>
      <c r="I26" s="49">
        <v>0</v>
      </c>
      <c r="J26" s="59">
        <v>12</v>
      </c>
      <c r="K26" s="58">
        <v>17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29</v>
      </c>
      <c r="S26" s="58">
        <v>0</v>
      </c>
      <c r="T26" s="62">
        <v>0</v>
      </c>
    </row>
    <row r="27" spans="1:20" s="93" customFormat="1" ht="13.5" customHeight="1">
      <c r="A27" s="542"/>
      <c r="B27" s="494"/>
      <c r="C27" s="144" t="s">
        <v>704</v>
      </c>
      <c r="D27" s="49">
        <v>13</v>
      </c>
      <c r="E27" s="49">
        <v>13</v>
      </c>
      <c r="F27" s="58">
        <v>0</v>
      </c>
      <c r="G27" s="49">
        <v>27</v>
      </c>
      <c r="H27" s="49">
        <v>0</v>
      </c>
      <c r="I27" s="49">
        <v>1</v>
      </c>
      <c r="J27" s="59">
        <v>10</v>
      </c>
      <c r="K27" s="58">
        <v>2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13</v>
      </c>
      <c r="S27" s="58">
        <v>0</v>
      </c>
      <c r="T27" s="62">
        <v>0</v>
      </c>
    </row>
    <row r="28" spans="1:20" s="93" customFormat="1" ht="13.5" customHeight="1">
      <c r="A28" s="542"/>
      <c r="B28" s="507" t="s">
        <v>532</v>
      </c>
      <c r="C28" s="141" t="s">
        <v>702</v>
      </c>
      <c r="D28" s="55">
        <f>SUM(D29:D30)</f>
        <v>62</v>
      </c>
      <c r="E28" s="55">
        <f>SUM(E29:E30)</f>
        <v>61</v>
      </c>
      <c r="F28" s="55">
        <f>SUM(F29:F30)</f>
        <v>1</v>
      </c>
      <c r="G28" s="55">
        <f>SUM(G29:G30)/2</f>
        <v>28.5</v>
      </c>
      <c r="H28" s="55">
        <f aca="true" t="shared" si="4" ref="H28:T28">SUM(H29:H30)</f>
        <v>0</v>
      </c>
      <c r="I28" s="55">
        <f t="shared" si="4"/>
        <v>0</v>
      </c>
      <c r="J28" s="55">
        <f t="shared" si="4"/>
        <v>30</v>
      </c>
      <c r="K28" s="55">
        <f t="shared" si="4"/>
        <v>32</v>
      </c>
      <c r="L28" s="55">
        <f t="shared" si="4"/>
        <v>0</v>
      </c>
      <c r="M28" s="55">
        <f t="shared" si="4"/>
        <v>0</v>
      </c>
      <c r="N28" s="55">
        <f t="shared" si="4"/>
        <v>0</v>
      </c>
      <c r="O28" s="55">
        <f t="shared" si="4"/>
        <v>0</v>
      </c>
      <c r="P28" s="55">
        <f t="shared" si="4"/>
        <v>0</v>
      </c>
      <c r="Q28" s="55">
        <f t="shared" si="4"/>
        <v>0</v>
      </c>
      <c r="R28" s="55">
        <f t="shared" si="4"/>
        <v>62</v>
      </c>
      <c r="S28" s="55">
        <f t="shared" si="4"/>
        <v>0</v>
      </c>
      <c r="T28" s="55">
        <f t="shared" si="4"/>
        <v>0</v>
      </c>
    </row>
    <row r="29" spans="1:21" s="93" customFormat="1" ht="13.5" customHeight="1">
      <c r="A29" s="538" t="s">
        <v>120</v>
      </c>
      <c r="B29" s="516"/>
      <c r="C29" s="143" t="s">
        <v>703</v>
      </c>
      <c r="D29" s="49">
        <v>48</v>
      </c>
      <c r="E29" s="49">
        <v>48</v>
      </c>
      <c r="F29" s="58">
        <v>0</v>
      </c>
      <c r="G29" s="49">
        <v>29</v>
      </c>
      <c r="H29" s="49">
        <v>0</v>
      </c>
      <c r="I29" s="49">
        <v>0</v>
      </c>
      <c r="J29" s="59">
        <v>23</v>
      </c>
      <c r="K29" s="58">
        <v>25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48</v>
      </c>
      <c r="S29" s="58">
        <v>0</v>
      </c>
      <c r="T29" s="62">
        <v>0</v>
      </c>
      <c r="U29" s="94"/>
    </row>
    <row r="30" spans="1:21" s="93" customFormat="1" ht="13.5" customHeight="1">
      <c r="A30" s="538"/>
      <c r="B30" s="517"/>
      <c r="C30" s="144" t="s">
        <v>704</v>
      </c>
      <c r="D30" s="49">
        <v>14</v>
      </c>
      <c r="E30" s="49">
        <v>13</v>
      </c>
      <c r="F30" s="58">
        <v>1</v>
      </c>
      <c r="G30" s="49">
        <v>28</v>
      </c>
      <c r="H30" s="49">
        <v>0</v>
      </c>
      <c r="I30" s="49">
        <v>0</v>
      </c>
      <c r="J30" s="59">
        <v>7</v>
      </c>
      <c r="K30" s="58">
        <v>7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14</v>
      </c>
      <c r="S30" s="58">
        <v>0</v>
      </c>
      <c r="T30" s="62">
        <v>0</v>
      </c>
      <c r="U30" s="94"/>
    </row>
    <row r="31" spans="1:20" s="93" customFormat="1" ht="13.5" customHeight="1">
      <c r="A31" s="538"/>
      <c r="B31" s="491" t="s">
        <v>533</v>
      </c>
      <c r="C31" s="141" t="s">
        <v>702</v>
      </c>
      <c r="D31" s="55">
        <f>SUM(D32:D33)</f>
        <v>59</v>
      </c>
      <c r="E31" s="55">
        <f>SUM(E32:E33)</f>
        <v>59</v>
      </c>
      <c r="F31" s="55">
        <f>SUM(F32:F33)</f>
        <v>0</v>
      </c>
      <c r="G31" s="55">
        <v>29</v>
      </c>
      <c r="H31" s="55">
        <f aca="true" t="shared" si="5" ref="H31:T31">SUM(H32:H33)</f>
        <v>0</v>
      </c>
      <c r="I31" s="55">
        <f t="shared" si="5"/>
        <v>1</v>
      </c>
      <c r="J31" s="55">
        <f t="shared" si="5"/>
        <v>35</v>
      </c>
      <c r="K31" s="55">
        <f t="shared" si="5"/>
        <v>23</v>
      </c>
      <c r="L31" s="55">
        <f t="shared" si="5"/>
        <v>0</v>
      </c>
      <c r="M31" s="55">
        <f t="shared" si="5"/>
        <v>0</v>
      </c>
      <c r="N31" s="55">
        <f t="shared" si="5"/>
        <v>0</v>
      </c>
      <c r="O31" s="55">
        <f t="shared" si="5"/>
        <v>0</v>
      </c>
      <c r="P31" s="55">
        <f t="shared" si="5"/>
        <v>0</v>
      </c>
      <c r="Q31" s="55">
        <f t="shared" si="5"/>
        <v>18</v>
      </c>
      <c r="R31" s="55">
        <f t="shared" si="5"/>
        <v>41</v>
      </c>
      <c r="S31" s="55">
        <f t="shared" si="5"/>
        <v>0</v>
      </c>
      <c r="T31" s="55">
        <f t="shared" si="5"/>
        <v>0</v>
      </c>
    </row>
    <row r="32" spans="1:21" s="93" customFormat="1" ht="13.5" customHeight="1">
      <c r="A32" s="538"/>
      <c r="B32" s="492"/>
      <c r="C32" s="143" t="s">
        <v>703</v>
      </c>
      <c r="D32" s="49">
        <v>45</v>
      </c>
      <c r="E32" s="49">
        <v>45</v>
      </c>
      <c r="F32" s="49">
        <v>0</v>
      </c>
      <c r="G32" s="49">
        <v>29</v>
      </c>
      <c r="H32" s="49">
        <v>0</v>
      </c>
      <c r="I32" s="49">
        <v>0</v>
      </c>
      <c r="J32" s="49">
        <v>25</v>
      </c>
      <c r="K32" s="49">
        <v>20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12</v>
      </c>
      <c r="R32" s="49">
        <v>33</v>
      </c>
      <c r="S32" s="49">
        <v>0</v>
      </c>
      <c r="T32" s="49">
        <v>0</v>
      </c>
      <c r="U32" s="94"/>
    </row>
    <row r="33" spans="1:21" s="93" customFormat="1" ht="13.5" customHeight="1">
      <c r="A33" s="538"/>
      <c r="B33" s="493"/>
      <c r="C33" s="144" t="s">
        <v>704</v>
      </c>
      <c r="D33" s="49">
        <v>14</v>
      </c>
      <c r="E33" s="49">
        <v>14</v>
      </c>
      <c r="F33" s="49">
        <v>0</v>
      </c>
      <c r="G33" s="49">
        <v>27</v>
      </c>
      <c r="H33" s="49">
        <v>0</v>
      </c>
      <c r="I33" s="49">
        <v>1</v>
      </c>
      <c r="J33" s="49">
        <v>10</v>
      </c>
      <c r="K33" s="49">
        <v>3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6</v>
      </c>
      <c r="R33" s="49">
        <v>8</v>
      </c>
      <c r="S33" s="49">
        <v>0</v>
      </c>
      <c r="T33" s="49">
        <v>0</v>
      </c>
      <c r="U33" s="94"/>
    </row>
    <row r="34" spans="1:20" s="85" customFormat="1" ht="13.5" customHeight="1">
      <c r="A34" s="538"/>
      <c r="B34" s="491" t="s">
        <v>534</v>
      </c>
      <c r="C34" s="141" t="s">
        <v>702</v>
      </c>
      <c r="D34" s="55">
        <f>SUM(D35:D36)</f>
        <v>65</v>
      </c>
      <c r="E34" s="55">
        <f>SUM(E35:E36)</f>
        <v>65</v>
      </c>
      <c r="F34" s="55">
        <f>SUM(F35:F36)</f>
        <v>0</v>
      </c>
      <c r="G34" s="55">
        <f>SUM(G35:G36)/2</f>
        <v>28.5</v>
      </c>
      <c r="H34" s="55">
        <f aca="true" t="shared" si="6" ref="H34:T34">SUM(H35:H36)</f>
        <v>0</v>
      </c>
      <c r="I34" s="55">
        <f t="shared" si="6"/>
        <v>1</v>
      </c>
      <c r="J34" s="55">
        <f t="shared" si="6"/>
        <v>39</v>
      </c>
      <c r="K34" s="55">
        <f t="shared" si="6"/>
        <v>25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0</v>
      </c>
      <c r="P34" s="55">
        <f t="shared" si="6"/>
        <v>0</v>
      </c>
      <c r="Q34" s="55">
        <f t="shared" si="6"/>
        <v>6</v>
      </c>
      <c r="R34" s="55">
        <f t="shared" si="6"/>
        <v>59</v>
      </c>
      <c r="S34" s="55">
        <f t="shared" si="6"/>
        <v>0</v>
      </c>
      <c r="T34" s="55">
        <f t="shared" si="6"/>
        <v>0</v>
      </c>
    </row>
    <row r="35" spans="1:20" s="85" customFormat="1" ht="13.5" customHeight="1">
      <c r="A35" s="538"/>
      <c r="B35" s="492"/>
      <c r="C35" s="143" t="s">
        <v>703</v>
      </c>
      <c r="D35" s="49">
        <v>36</v>
      </c>
      <c r="E35" s="49">
        <v>36</v>
      </c>
      <c r="F35" s="59">
        <v>0</v>
      </c>
      <c r="G35" s="58">
        <v>29</v>
      </c>
      <c r="H35" s="58">
        <v>0</v>
      </c>
      <c r="I35" s="58">
        <v>1</v>
      </c>
      <c r="J35" s="58">
        <v>19</v>
      </c>
      <c r="K35" s="58">
        <v>16</v>
      </c>
      <c r="L35" s="58">
        <v>0</v>
      </c>
      <c r="M35" s="58">
        <v>0</v>
      </c>
      <c r="N35" s="58">
        <v>0</v>
      </c>
      <c r="O35" s="58">
        <v>0</v>
      </c>
      <c r="P35" s="59">
        <v>0</v>
      </c>
      <c r="Q35" s="59">
        <v>4</v>
      </c>
      <c r="R35" s="59">
        <v>32</v>
      </c>
      <c r="S35" s="59">
        <v>0</v>
      </c>
      <c r="T35" s="49">
        <v>0</v>
      </c>
    </row>
    <row r="36" spans="1:20" s="85" customFormat="1" ht="13.5" customHeight="1">
      <c r="A36" s="538"/>
      <c r="B36" s="493"/>
      <c r="C36" s="144" t="s">
        <v>704</v>
      </c>
      <c r="D36" s="49">
        <v>29</v>
      </c>
      <c r="E36" s="49">
        <v>29</v>
      </c>
      <c r="F36" s="59">
        <v>0</v>
      </c>
      <c r="G36" s="58">
        <v>28</v>
      </c>
      <c r="H36" s="58">
        <v>0</v>
      </c>
      <c r="I36" s="58">
        <v>0</v>
      </c>
      <c r="J36" s="58">
        <v>20</v>
      </c>
      <c r="K36" s="58">
        <v>9</v>
      </c>
      <c r="L36" s="58">
        <v>0</v>
      </c>
      <c r="M36" s="58">
        <v>0</v>
      </c>
      <c r="N36" s="58">
        <v>0</v>
      </c>
      <c r="O36" s="58">
        <v>0</v>
      </c>
      <c r="P36" s="59">
        <v>0</v>
      </c>
      <c r="Q36" s="59">
        <v>2</v>
      </c>
      <c r="R36" s="59">
        <v>27</v>
      </c>
      <c r="S36" s="59">
        <v>0</v>
      </c>
      <c r="T36" s="49">
        <v>0</v>
      </c>
    </row>
    <row r="37" spans="1:20" s="85" customFormat="1" ht="13.5" customHeight="1">
      <c r="A37" s="538"/>
      <c r="B37" s="492" t="s">
        <v>535</v>
      </c>
      <c r="C37" s="141" t="s">
        <v>702</v>
      </c>
      <c r="D37" s="55">
        <f>SUM(D38:D39)</f>
        <v>74</v>
      </c>
      <c r="E37" s="55">
        <f>SUM(E38:E39)</f>
        <v>73</v>
      </c>
      <c r="F37" s="55">
        <f>SUM(F38:F39)</f>
        <v>1</v>
      </c>
      <c r="G37" s="55">
        <f>SUM(G38:G39)/2</f>
        <v>28</v>
      </c>
      <c r="H37" s="55">
        <f aca="true" t="shared" si="7" ref="H37:T37">SUM(H38:H39)</f>
        <v>0</v>
      </c>
      <c r="I37" s="55">
        <f t="shared" si="7"/>
        <v>1</v>
      </c>
      <c r="J37" s="55">
        <f t="shared" si="7"/>
        <v>48</v>
      </c>
      <c r="K37" s="55">
        <f t="shared" si="7"/>
        <v>25</v>
      </c>
      <c r="L37" s="55">
        <f t="shared" si="7"/>
        <v>0</v>
      </c>
      <c r="M37" s="55">
        <f t="shared" si="7"/>
        <v>0</v>
      </c>
      <c r="N37" s="55">
        <f t="shared" si="7"/>
        <v>0</v>
      </c>
      <c r="O37" s="55">
        <f t="shared" si="7"/>
        <v>0</v>
      </c>
      <c r="P37" s="55">
        <f t="shared" si="7"/>
        <v>0</v>
      </c>
      <c r="Q37" s="55">
        <f t="shared" si="7"/>
        <v>9</v>
      </c>
      <c r="R37" s="55">
        <f t="shared" si="7"/>
        <v>65</v>
      </c>
      <c r="S37" s="55">
        <f t="shared" si="7"/>
        <v>0</v>
      </c>
      <c r="T37" s="55">
        <f t="shared" si="7"/>
        <v>0</v>
      </c>
    </row>
    <row r="38" spans="1:20" s="85" customFormat="1" ht="13.5" customHeight="1">
      <c r="A38" s="538"/>
      <c r="B38" s="492"/>
      <c r="C38" s="143" t="s">
        <v>703</v>
      </c>
      <c r="D38" s="10">
        <v>36</v>
      </c>
      <c r="E38" s="10">
        <v>35</v>
      </c>
      <c r="F38" s="10">
        <v>1</v>
      </c>
      <c r="G38" s="10">
        <v>29</v>
      </c>
      <c r="H38" s="10">
        <v>0</v>
      </c>
      <c r="I38" s="10">
        <v>0</v>
      </c>
      <c r="J38" s="10">
        <v>20</v>
      </c>
      <c r="K38" s="10">
        <v>16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4</v>
      </c>
      <c r="R38" s="10">
        <v>32</v>
      </c>
      <c r="S38" s="10">
        <v>0</v>
      </c>
      <c r="T38" s="49">
        <v>0</v>
      </c>
    </row>
    <row r="39" spans="1:20" s="85" customFormat="1" ht="13.5" customHeight="1">
      <c r="A39" s="538"/>
      <c r="B39" s="492"/>
      <c r="C39" s="144" t="s">
        <v>704</v>
      </c>
      <c r="D39" s="10">
        <v>38</v>
      </c>
      <c r="E39" s="10">
        <v>38</v>
      </c>
      <c r="F39" s="10">
        <v>0</v>
      </c>
      <c r="G39" s="10">
        <v>27</v>
      </c>
      <c r="H39" s="10">
        <v>0</v>
      </c>
      <c r="I39" s="10">
        <v>1</v>
      </c>
      <c r="J39" s="10">
        <v>28</v>
      </c>
      <c r="K39" s="10">
        <v>9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5</v>
      </c>
      <c r="R39" s="10">
        <v>33</v>
      </c>
      <c r="S39" s="10">
        <v>0</v>
      </c>
      <c r="T39" s="49">
        <v>0</v>
      </c>
    </row>
    <row r="40" spans="1:20" s="85" customFormat="1" ht="13.5" customHeight="1">
      <c r="A40" s="538"/>
      <c r="B40" s="491" t="s">
        <v>536</v>
      </c>
      <c r="C40" s="141" t="s">
        <v>702</v>
      </c>
      <c r="D40" s="55">
        <f>SUM(D41:D42)</f>
        <v>77</v>
      </c>
      <c r="E40" s="55">
        <f aca="true" t="shared" si="8" ref="E40:T40">SUM(E41:E42)</f>
        <v>76</v>
      </c>
      <c r="F40" s="55">
        <f t="shared" si="8"/>
        <v>1</v>
      </c>
      <c r="G40" s="55">
        <f>SUM(G41:G42)/2</f>
        <v>28</v>
      </c>
      <c r="H40" s="55">
        <f t="shared" si="8"/>
        <v>0</v>
      </c>
      <c r="I40" s="55">
        <f t="shared" si="8"/>
        <v>1</v>
      </c>
      <c r="J40" s="55">
        <f t="shared" si="8"/>
        <v>56</v>
      </c>
      <c r="K40" s="55">
        <f t="shared" si="8"/>
        <v>20</v>
      </c>
      <c r="L40" s="55">
        <f t="shared" si="8"/>
        <v>0</v>
      </c>
      <c r="M40" s="55">
        <f t="shared" si="8"/>
        <v>0</v>
      </c>
      <c r="N40" s="55">
        <f t="shared" si="8"/>
        <v>0</v>
      </c>
      <c r="O40" s="55">
        <f t="shared" si="8"/>
        <v>0</v>
      </c>
      <c r="P40" s="55">
        <f t="shared" si="8"/>
        <v>0</v>
      </c>
      <c r="Q40" s="55">
        <f t="shared" si="8"/>
        <v>18</v>
      </c>
      <c r="R40" s="55">
        <f t="shared" si="8"/>
        <v>59</v>
      </c>
      <c r="S40" s="55">
        <f t="shared" si="8"/>
        <v>0</v>
      </c>
      <c r="T40" s="55">
        <f t="shared" si="8"/>
        <v>0</v>
      </c>
    </row>
    <row r="41" spans="1:20" s="85" customFormat="1" ht="13.5" customHeight="1">
      <c r="A41" s="538"/>
      <c r="B41" s="492"/>
      <c r="C41" s="143" t="s">
        <v>703</v>
      </c>
      <c r="D41" s="10">
        <v>42</v>
      </c>
      <c r="E41" s="10">
        <v>41</v>
      </c>
      <c r="F41" s="10">
        <v>1</v>
      </c>
      <c r="G41" s="10">
        <v>29</v>
      </c>
      <c r="H41" s="10">
        <v>0</v>
      </c>
      <c r="I41" s="10">
        <v>0</v>
      </c>
      <c r="J41" s="10">
        <v>25</v>
      </c>
      <c r="K41" s="10">
        <v>17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10</v>
      </c>
      <c r="R41" s="10">
        <v>32</v>
      </c>
      <c r="S41" s="10">
        <v>0</v>
      </c>
      <c r="T41" s="49">
        <v>0</v>
      </c>
    </row>
    <row r="42" spans="1:20" s="85" customFormat="1" ht="13.5" customHeight="1">
      <c r="A42" s="538"/>
      <c r="B42" s="493"/>
      <c r="C42" s="144" t="s">
        <v>704</v>
      </c>
      <c r="D42" s="10">
        <v>35</v>
      </c>
      <c r="E42" s="10">
        <v>35</v>
      </c>
      <c r="F42" s="10">
        <v>0</v>
      </c>
      <c r="G42" s="10">
        <v>27</v>
      </c>
      <c r="H42" s="10">
        <v>0</v>
      </c>
      <c r="I42" s="10">
        <v>1</v>
      </c>
      <c r="J42" s="10">
        <v>31</v>
      </c>
      <c r="K42" s="10">
        <v>3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8</v>
      </c>
      <c r="R42" s="10">
        <v>27</v>
      </c>
      <c r="S42" s="10">
        <v>0</v>
      </c>
      <c r="T42" s="49">
        <v>0</v>
      </c>
    </row>
    <row r="43" spans="1:20" s="93" customFormat="1" ht="13.5" customHeight="1">
      <c r="A43" s="538"/>
      <c r="B43" s="491" t="s">
        <v>537</v>
      </c>
      <c r="C43" s="141" t="s">
        <v>702</v>
      </c>
      <c r="D43" s="55">
        <f>SUM(D44:D45)</f>
        <v>80</v>
      </c>
      <c r="E43" s="55">
        <f aca="true" t="shared" si="9" ref="E43:T43">SUM(E44:E45)</f>
        <v>80</v>
      </c>
      <c r="F43" s="55">
        <f t="shared" si="9"/>
        <v>0</v>
      </c>
      <c r="G43" s="55">
        <f>SUM(G44:G45)/2</f>
        <v>28</v>
      </c>
      <c r="H43" s="55">
        <f t="shared" si="9"/>
        <v>0</v>
      </c>
      <c r="I43" s="55">
        <f t="shared" si="9"/>
        <v>2</v>
      </c>
      <c r="J43" s="55">
        <f t="shared" si="9"/>
        <v>56</v>
      </c>
      <c r="K43" s="55">
        <f t="shared" si="9"/>
        <v>22</v>
      </c>
      <c r="L43" s="55">
        <f t="shared" si="9"/>
        <v>0</v>
      </c>
      <c r="M43" s="55">
        <f t="shared" si="9"/>
        <v>0</v>
      </c>
      <c r="N43" s="55">
        <f t="shared" si="9"/>
        <v>0</v>
      </c>
      <c r="O43" s="55">
        <f t="shared" si="9"/>
        <v>0</v>
      </c>
      <c r="P43" s="55">
        <f t="shared" si="9"/>
        <v>0</v>
      </c>
      <c r="Q43" s="55">
        <f t="shared" si="9"/>
        <v>21</v>
      </c>
      <c r="R43" s="55">
        <f t="shared" si="9"/>
        <v>59</v>
      </c>
      <c r="S43" s="55">
        <f t="shared" si="9"/>
        <v>0</v>
      </c>
      <c r="T43" s="55">
        <f t="shared" si="9"/>
        <v>0</v>
      </c>
    </row>
    <row r="44" spans="1:20" s="93" customFormat="1" ht="13.5" customHeight="1">
      <c r="A44" s="556"/>
      <c r="B44" s="492"/>
      <c r="C44" s="143" t="s">
        <v>703</v>
      </c>
      <c r="D44" s="10">
        <v>39</v>
      </c>
      <c r="E44" s="10">
        <v>39</v>
      </c>
      <c r="F44" s="10">
        <v>0</v>
      </c>
      <c r="G44" s="10">
        <v>29</v>
      </c>
      <c r="H44" s="10">
        <v>0</v>
      </c>
      <c r="I44" s="10">
        <v>0</v>
      </c>
      <c r="J44" s="10">
        <v>24</v>
      </c>
      <c r="K44" s="10">
        <v>15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12</v>
      </c>
      <c r="R44" s="10">
        <v>27</v>
      </c>
      <c r="S44" s="10">
        <v>0</v>
      </c>
      <c r="T44" s="10">
        <v>0</v>
      </c>
    </row>
    <row r="45" spans="1:20" s="93" customFormat="1" ht="13.5" customHeight="1">
      <c r="A45" s="538"/>
      <c r="B45" s="492"/>
      <c r="C45" s="144" t="s">
        <v>704</v>
      </c>
      <c r="D45" s="10">
        <v>41</v>
      </c>
      <c r="E45" s="10">
        <v>41</v>
      </c>
      <c r="F45" s="10">
        <v>0</v>
      </c>
      <c r="G45" s="10">
        <v>27</v>
      </c>
      <c r="H45" s="10">
        <v>0</v>
      </c>
      <c r="I45" s="10">
        <v>2</v>
      </c>
      <c r="J45" s="10">
        <v>32</v>
      </c>
      <c r="K45" s="10">
        <v>7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9</v>
      </c>
      <c r="R45" s="10">
        <v>32</v>
      </c>
      <c r="S45" s="10">
        <v>0</v>
      </c>
      <c r="T45" s="10">
        <v>0</v>
      </c>
    </row>
    <row r="46" spans="1:20" s="93" customFormat="1" ht="13.5" customHeight="1">
      <c r="A46" s="557" t="s">
        <v>546</v>
      </c>
      <c r="B46" s="534" t="s">
        <v>518</v>
      </c>
      <c r="C46" s="141" t="s">
        <v>702</v>
      </c>
      <c r="D46" s="56">
        <f>SUM('表32(續4)'!D7,'表32(續4)'!D10,'表32(續4)'!D13,'表32(續4)'!D16,'表32(續4)'!D19,'表32(續4)'!D22,'表32(續4)'!D25,'表32(續4)'!D28,'表32(續4)'!D31,'表32(續4)'!D34)</f>
        <v>20940</v>
      </c>
      <c r="E46" s="56">
        <f>SUM('表32(續4)'!E7,'表32(續4)'!E10,'表32(續4)'!E13,'表32(續4)'!E16,'表32(續4)'!E19,'表32(續4)'!E22,'表32(續4)'!E25,'表32(續4)'!E28,'表32(續4)'!E31,'表32(續4)'!E34)</f>
        <v>20932</v>
      </c>
      <c r="F46" s="56">
        <f>SUM('表32(續4)'!F7,'表32(續4)'!F10,'表32(續4)'!F13,'表32(續4)'!F16,'表32(續4)'!F19,'表32(續4)'!F22,'表32(續4)'!F25,'表32(續4)'!F28,'表32(續4)'!F31,'表32(續4)'!F34)</f>
        <v>8</v>
      </c>
      <c r="G46" s="56">
        <v>25</v>
      </c>
      <c r="H46" s="56">
        <f>SUM('表32(續4)'!H7,'表32(續4)'!H10,'表32(續4)'!H13,'表32(續4)'!H16,'表32(續4)'!H19,'表32(續4)'!H22,'表32(續4)'!H25,'表32(續4)'!H28,'表32(續4)'!H31,'表32(續4)'!H34)</f>
        <v>5</v>
      </c>
      <c r="I46" s="56">
        <f>SUM('表32(續4)'!I7,'表32(續4)'!I10,'表32(續4)'!I13,'表32(續4)'!I16,'表32(續4)'!I19,'表32(續4)'!I22,'表32(續4)'!I25,'表32(續4)'!I28,'表32(續4)'!I31,'表32(續4)'!I34)</f>
        <v>9943</v>
      </c>
      <c r="J46" s="56">
        <f>SUM('表32(續4)'!J7,'表32(續4)'!J10,'表32(續4)'!J13,'表32(續4)'!J16,'表32(續4)'!J19,'表32(續4)'!J22,'表32(續4)'!J25,'表32(續4)'!J28,'表32(續4)'!J31,'表32(續4)'!J34)</f>
        <v>8618</v>
      </c>
      <c r="K46" s="56">
        <f>SUM('表32(續4)'!K7,'表32(續4)'!K10,'表32(續4)'!K13,'表32(續4)'!K16,'表32(續4)'!K19,'表32(續4)'!K22,'表32(續4)'!K25,'表32(續4)'!K28,'表32(續4)'!K31,'表32(續4)'!K34)</f>
        <v>1682</v>
      </c>
      <c r="L46" s="56">
        <f>SUM('表32(續4)'!L7,'表32(續4)'!L10,'表32(續4)'!L13,'表32(續4)'!L16,'表32(續4)'!L19,'表32(續4)'!L22,'表32(續4)'!L25,'表32(續4)'!L28,'表32(續4)'!L31,'表32(續4)'!L34)</f>
        <v>680</v>
      </c>
      <c r="M46" s="56">
        <f>SUM('表32(續4)'!M7,'表32(續4)'!M10,'表32(續4)'!M13,'表32(續4)'!M16,'表32(續4)'!M19,'表32(續4)'!M22,'表32(續4)'!M25,'表32(續4)'!M28,'表32(續4)'!M31,'表32(續4)'!M34)</f>
        <v>12</v>
      </c>
      <c r="N46" s="56">
        <f>SUM('表32(續4)'!N7,'表32(續4)'!N10,'表32(續4)'!N13,'表32(續4)'!N16,'表32(續4)'!N19,'表32(續4)'!N22,'表32(續4)'!N25,'表32(續4)'!N28,'表32(續4)'!N31,'表32(續4)'!N34)</f>
        <v>0</v>
      </c>
      <c r="O46" s="56">
        <f>SUM('表32(續4)'!O7,'表32(續4)'!O10,'表32(續4)'!O13,'表32(續4)'!O16,'表32(續4)'!O19,'表32(續4)'!O22,'表32(續4)'!O25,'表32(續4)'!O28,'表32(續4)'!O31,'表32(續4)'!O34)</f>
        <v>0</v>
      </c>
      <c r="P46" s="56">
        <f>SUM('表32(續4)'!P7,'表32(續4)'!P10,'表32(續4)'!P13,'表32(續4)'!P16,'表32(續4)'!P19,'表32(續4)'!P22,'表32(續4)'!P25,'表32(續4)'!P28,'表32(續4)'!P31,'表32(續4)'!P34)</f>
        <v>0</v>
      </c>
      <c r="Q46" s="56">
        <f>SUM('表32(續4)'!Q7,'表32(續4)'!Q10,'表32(續4)'!Q13,'表32(續4)'!Q16,'表32(續4)'!Q19,'表32(續4)'!Q22,'表32(續4)'!Q25,'表32(續4)'!Q28,'表32(續4)'!Q31,'表32(續4)'!Q34)</f>
        <v>243</v>
      </c>
      <c r="R46" s="56">
        <f>SUM('表32(續4)'!R7,'表32(續4)'!R10,'表32(續4)'!R13,'表32(續4)'!R16,'表32(續4)'!R19,'表32(續4)'!R22,'表32(續4)'!R25,'表32(續4)'!R28,'表32(續4)'!R31,'表32(續4)'!R34)</f>
        <v>17058</v>
      </c>
      <c r="S46" s="56">
        <f>SUM('表32(續4)'!S7,'表32(續4)'!S10,'表32(續4)'!S13,'表32(續4)'!S16,'表32(續4)'!S19,'表32(續4)'!S22,'表32(續4)'!S25,'表32(續4)'!S28,'表32(續4)'!S31,'表32(續4)'!S34)</f>
        <v>1115</v>
      </c>
      <c r="T46" s="56">
        <f>SUM('表32(續4)'!T7,'表32(續4)'!T10,'表32(續4)'!T13,'表32(續4)'!T16,'表32(續4)'!T19,'表32(續4)'!T22,'表32(續4)'!T25,'表32(續4)'!T28,'表32(續4)'!T31,'表32(續4)'!T34)</f>
        <v>0</v>
      </c>
    </row>
    <row r="47" spans="1:20" s="93" customFormat="1" ht="13.5" customHeight="1">
      <c r="A47" s="558"/>
      <c r="B47" s="516"/>
      <c r="C47" s="143" t="s">
        <v>703</v>
      </c>
      <c r="D47" s="10">
        <f>SUM('表32(續4)'!D8,'表32(續4)'!D11,'表32(續4)'!D14,'表32(續4)'!D17,'表32(續4)'!D20,'表32(續4)'!D23,'表32(續4)'!D26,'表32(續4)'!D29,'表32(續4)'!D32,'表32(續4)'!D35)</f>
        <v>17752</v>
      </c>
      <c r="E47" s="10">
        <f>SUM('表32(續4)'!E8,'表32(續4)'!E11,'表32(續4)'!E14,'表32(續4)'!E17,'表32(續4)'!E20,'表32(續4)'!E23,'表32(續4)'!E26,'表32(續4)'!E29,'表32(續4)'!E32,'表32(續4)'!E35)</f>
        <v>17745</v>
      </c>
      <c r="F47" s="10">
        <f>SUM('表32(續4)'!F8,'表32(續4)'!F11,'表32(續4)'!F14,'表32(續4)'!F17,'表32(續4)'!F20,'表32(續4)'!F23,'表32(續4)'!F26,'表32(續4)'!F29,'表32(續4)'!F32,'表32(續4)'!F35)</f>
        <v>7</v>
      </c>
      <c r="G47" s="10">
        <f>(SUM('表32(續4)'!G8,'表32(續4)'!G11,'表32(續4)'!G14,'表32(續4)'!G17,'表32(續4)'!G20,'表32(續4)'!G23,'表32(續4)'!G26,'表32(續4)'!G29,'表32(續4)'!G32,'表32(續4)'!G35))/10</f>
        <v>24.7</v>
      </c>
      <c r="H47" s="10">
        <f>SUM('表32(續4)'!H8,'表32(續4)'!H11,'表32(續4)'!H14,'表32(續4)'!H17,'表32(續4)'!H20,'表32(續4)'!H23,'表32(續4)'!H26,'表32(續4)'!H29,'表32(續4)'!H32,'表32(續4)'!H35)</f>
        <v>5</v>
      </c>
      <c r="I47" s="10">
        <f>SUM('表32(續4)'!I8,'表32(續4)'!I11,'表32(續4)'!I14,'表32(續4)'!I17,'表32(續4)'!I20,'表32(續4)'!I23,'表32(續4)'!I26,'表32(續4)'!I29,'表32(續4)'!I32,'表32(續4)'!I35)</f>
        <v>8744</v>
      </c>
      <c r="J47" s="10">
        <f>SUM('表32(續4)'!J8,'表32(續4)'!J11,'表32(續4)'!J14,'表32(續4)'!J17,'表32(續4)'!J20,'表32(續4)'!J23,'表32(續4)'!J26,'表32(續4)'!J29,'表32(續4)'!J32,'表32(續4)'!J35)</f>
        <v>7176</v>
      </c>
      <c r="K47" s="10">
        <f>SUM('表32(續4)'!K8,'表32(續4)'!K11,'表32(續4)'!K14,'表32(續4)'!K17,'表32(續4)'!K20,'表32(續4)'!K23,'表32(續4)'!K26,'表32(續4)'!K29,'表32(續4)'!K32,'表32(續4)'!K35)</f>
        <v>1270</v>
      </c>
      <c r="L47" s="10">
        <f>SUM('表32(續4)'!L8,'表32(續4)'!L11,'表32(續4)'!L14,'表32(續4)'!L17,'表32(續4)'!L20,'表32(續4)'!L23,'表32(續4)'!L26,'表32(續4)'!L29,'表32(續4)'!L32,'表32(續4)'!L35)</f>
        <v>546</v>
      </c>
      <c r="M47" s="10">
        <f>SUM('表32(續4)'!M8,'表32(續4)'!M11,'表32(續4)'!M14,'表32(續4)'!M17,'表32(續4)'!M20,'表32(續4)'!M23,'表32(續4)'!M26,'表32(續4)'!M29,'表32(續4)'!M32,'表32(續4)'!M35)</f>
        <v>11</v>
      </c>
      <c r="N47" s="10">
        <f>SUM('表32(續4)'!N8,'表32(續4)'!N11,'表32(續4)'!N14,'表32(續4)'!N17,'表32(續4)'!N20,'表32(續4)'!N23,'表32(續4)'!N26,'表32(續4)'!N29,'表32(續4)'!N32,'表32(續4)'!N35)</f>
        <v>0</v>
      </c>
      <c r="O47" s="10">
        <f>SUM('表32(續4)'!O8,'表32(續4)'!O11,'表32(續4)'!O14,'表32(續4)'!O17,'表32(續4)'!O20,'表32(續4)'!O23,'表32(續4)'!O26,'表32(續4)'!O29,'表32(續4)'!O32,'表32(續4)'!O35)</f>
        <v>0</v>
      </c>
      <c r="P47" s="10">
        <f>SUM('表32(續4)'!P8,'表32(續4)'!P11,'表32(續4)'!P14,'表32(續4)'!P17,'表32(續4)'!P20,'表32(續4)'!P23,'表32(續4)'!P26,'表32(續4)'!P29,'表32(續4)'!P32,'表32(續4)'!P35)</f>
        <v>0</v>
      </c>
      <c r="Q47" s="10">
        <f>SUM('表32(續4)'!Q8,'表32(續4)'!Q11,'表32(續4)'!Q14,'表32(續4)'!Q17,'表32(續4)'!Q20,'表32(續4)'!Q23,'表32(續4)'!Q26,'表32(續4)'!Q29,'表32(續4)'!Q32,'表32(續4)'!Q35)</f>
        <v>180</v>
      </c>
      <c r="R47" s="10">
        <f>SUM('表32(續4)'!R8,'表32(續4)'!R11,'表32(續4)'!R14,'表32(續4)'!R17,'表32(續4)'!R20,'表32(續4)'!R23,'表32(續4)'!R26,'表32(續4)'!R29,'表32(續4)'!R32,'表32(續4)'!R35)</f>
        <v>14263</v>
      </c>
      <c r="S47" s="10">
        <f>SUM('表32(續4)'!S8,'表32(續4)'!S11,'表32(續4)'!S14,'表32(續4)'!S17,'表32(續4)'!S20,'表32(續4)'!S23,'表32(續4)'!S26,'表32(續4)'!S29,'表32(續4)'!S32,'表32(續4)'!S35)</f>
        <v>968</v>
      </c>
      <c r="T47" s="10">
        <f>SUM('表32(續4)'!T8,'表32(續4)'!T11,'表32(續4)'!T14,'表32(續4)'!T17,'表32(續4)'!T20,'表32(續4)'!T23,'表32(續4)'!T26,'表32(續4)'!T29,'表32(續4)'!T32,'表32(續4)'!T35)</f>
        <v>0</v>
      </c>
    </row>
    <row r="48" spans="1:20" s="93" customFormat="1" ht="13.5" customHeight="1">
      <c r="A48" s="558"/>
      <c r="B48" s="517"/>
      <c r="C48" s="143" t="s">
        <v>704</v>
      </c>
      <c r="D48" s="10">
        <f>SUM('表32(續4)'!D9,'表32(續4)'!D12,'表32(續4)'!D15,'表32(續4)'!D18,'表32(續4)'!D21,'表32(續4)'!D24,'表32(續4)'!D27,'表32(續4)'!D30,'表32(續4)'!D33,'表32(續4)'!D36)</f>
        <v>3188</v>
      </c>
      <c r="E48" s="10">
        <f>SUM('表32(續4)'!E9,'表32(續4)'!E12,'表32(續4)'!E15,'表32(續4)'!E18,'表32(續4)'!E21,'表32(續4)'!E24,'表32(續4)'!E27,'表32(續4)'!E30,'表32(續4)'!E33,'表32(續4)'!E36)</f>
        <v>3187</v>
      </c>
      <c r="F48" s="10">
        <f>SUM('表32(續4)'!F9,'表32(續4)'!F12,'表32(續4)'!F15,'表32(續4)'!F18,'表32(續4)'!F21,'表32(續4)'!F24,'表32(續4)'!F27,'表32(續4)'!F30,'表32(續4)'!F33,'表32(續4)'!F36)</f>
        <v>1</v>
      </c>
      <c r="G48" s="10">
        <v>25</v>
      </c>
      <c r="H48" s="10">
        <f>SUM('表32(續4)'!H9,'表32(續4)'!H12,'表32(續4)'!H15,'表32(續4)'!H18,'表32(續4)'!H21,'表32(續4)'!H24,'表32(續4)'!H27,'表32(續4)'!H30,'表32(續4)'!H33,'表32(續4)'!H36)</f>
        <v>0</v>
      </c>
      <c r="I48" s="10">
        <f>SUM('表32(續4)'!I9,'表32(續4)'!I12,'表32(續4)'!I15,'表32(續4)'!I18,'表32(續4)'!I21,'表32(續4)'!I24,'表32(續4)'!I27,'表32(續4)'!I30,'表32(續4)'!I33,'表32(續4)'!I36)</f>
        <v>1199</v>
      </c>
      <c r="J48" s="10">
        <f>SUM('表32(續4)'!J9,'表32(續4)'!J12,'表32(續4)'!J15,'表32(續4)'!J18,'表32(續4)'!J21,'表32(續4)'!J24,'表32(續4)'!J27,'表32(續4)'!J30,'表32(續4)'!J33,'表32(續4)'!J36)</f>
        <v>1442</v>
      </c>
      <c r="K48" s="10">
        <f>SUM('表32(續4)'!K9,'表32(續4)'!K12,'表32(續4)'!K15,'表32(續4)'!K18,'表32(續4)'!K21,'表32(續4)'!K24,'表32(續4)'!K27,'表32(續4)'!K30,'表32(續4)'!K33,'表32(續4)'!K36)</f>
        <v>412</v>
      </c>
      <c r="L48" s="10">
        <f>SUM('表32(續4)'!L9,'表32(續4)'!L12,'表32(續4)'!L15,'表32(續4)'!L18,'表32(續4)'!L21,'表32(續4)'!L24,'表32(續4)'!L27,'表32(續4)'!L30,'表32(續4)'!L33,'表32(續4)'!L36)</f>
        <v>134</v>
      </c>
      <c r="M48" s="10">
        <f>SUM('表32(續4)'!M9,'表32(續4)'!M12,'表32(續4)'!M15,'表32(續4)'!M18,'表32(續4)'!M21,'表32(續4)'!M24,'表32(續4)'!M27,'表32(續4)'!M30,'表32(續4)'!M33,'表32(續4)'!M36)</f>
        <v>1</v>
      </c>
      <c r="N48" s="10">
        <f>SUM('表32(續4)'!N9,'表32(續4)'!N12,'表32(續4)'!N15,'表32(續4)'!N18,'表32(續4)'!N21,'表32(續4)'!N24,'表32(續4)'!N27,'表32(續4)'!N30,'表32(續4)'!N33,'表32(續4)'!N36)</f>
        <v>0</v>
      </c>
      <c r="O48" s="10">
        <f>SUM('表32(續4)'!O9,'表32(續4)'!O12,'表32(續4)'!O15,'表32(續4)'!O18,'表32(續4)'!O21,'表32(續4)'!O24,'表32(續4)'!O27,'表32(續4)'!O30,'表32(續4)'!O33,'表32(續4)'!O36)</f>
        <v>0</v>
      </c>
      <c r="P48" s="10">
        <f>SUM('表32(續4)'!P9,'表32(續4)'!P12,'表32(續4)'!P15,'表32(續4)'!P18,'表32(續4)'!P21,'表32(續4)'!P24,'表32(續4)'!P27,'表32(續4)'!P30,'表32(續4)'!P33,'表32(續4)'!P36)</f>
        <v>0</v>
      </c>
      <c r="Q48" s="10">
        <f>SUM('表32(續4)'!Q9,'表32(續4)'!Q12,'表32(續4)'!Q15,'表32(續4)'!Q18,'表32(續4)'!Q21,'表32(續4)'!Q24,'表32(續4)'!Q27,'表32(續4)'!Q30,'表32(續4)'!Q33,'表32(續4)'!Q36)</f>
        <v>63</v>
      </c>
      <c r="R48" s="10">
        <f>SUM('表32(續4)'!R9,'表32(續4)'!R12,'表32(續4)'!R15,'表32(續4)'!R18,'表32(續4)'!R21,'表32(續4)'!R24,'表32(續4)'!R27,'表32(續4)'!R30,'表32(續4)'!R33,'表32(續4)'!R36)</f>
        <v>2795</v>
      </c>
      <c r="S48" s="10">
        <f>SUM('表32(續4)'!S9,'表32(續4)'!S12,'表32(續4)'!S15,'表32(續4)'!S18,'表32(續4)'!S21,'表32(續4)'!S24,'表32(續4)'!S27,'表32(續4)'!S30,'表32(續4)'!S33,'表32(續4)'!S36)</f>
        <v>147</v>
      </c>
      <c r="T48" s="10">
        <f>SUM('表32(續4)'!T9,'表32(續4)'!T12,'表32(續4)'!T15,'表32(續4)'!T18,'表32(續4)'!T21,'表32(續4)'!T24,'表32(續4)'!T27,'表32(續4)'!T30,'表32(續4)'!T33,'表32(續4)'!T36)</f>
        <v>0</v>
      </c>
    </row>
    <row r="52" spans="1:20" ht="15.75">
      <c r="A52" s="63"/>
      <c r="B52" s="63"/>
      <c r="C52" s="63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ht="15.75">
      <c r="A53" s="63"/>
      <c r="B53" s="63"/>
      <c r="C53" s="63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5" spans="1:20" ht="15.75">
      <c r="A55" s="535" t="str">
        <f>"- "&amp;Sheet1!H33&amp;" -"</f>
        <v>- 200 -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"&amp;Sheet1!I33&amp;" -"</f>
        <v>- 201 -</v>
      </c>
      <c r="L55" s="535"/>
      <c r="M55" s="535"/>
      <c r="N55" s="535"/>
      <c r="O55" s="535"/>
      <c r="P55" s="535"/>
      <c r="Q55" s="535"/>
      <c r="R55" s="535"/>
      <c r="S55" s="535"/>
      <c r="T55" s="535"/>
    </row>
  </sheetData>
  <sheetProtection/>
  <mergeCells count="33">
    <mergeCell ref="A55:J55"/>
    <mergeCell ref="K55:T55"/>
    <mergeCell ref="B34:B36"/>
    <mergeCell ref="B37:B39"/>
    <mergeCell ref="B40:B42"/>
    <mergeCell ref="B43:B45"/>
    <mergeCell ref="A46:A48"/>
    <mergeCell ref="B46:B48"/>
    <mergeCell ref="C3:I3"/>
    <mergeCell ref="B10:B12"/>
    <mergeCell ref="B13:B15"/>
    <mergeCell ref="B16:B18"/>
    <mergeCell ref="H5:J5"/>
    <mergeCell ref="G5:G6"/>
    <mergeCell ref="A7:A9"/>
    <mergeCell ref="A10:A12"/>
    <mergeCell ref="A13:A28"/>
    <mergeCell ref="B28:B30"/>
    <mergeCell ref="B22:B24"/>
    <mergeCell ref="B25:B27"/>
    <mergeCell ref="B19:B21"/>
    <mergeCell ref="A29:A45"/>
    <mergeCell ref="B31:B33"/>
    <mergeCell ref="A1:J1"/>
    <mergeCell ref="K1:T1"/>
    <mergeCell ref="A5:C6"/>
    <mergeCell ref="B7:B9"/>
    <mergeCell ref="D5:D6"/>
    <mergeCell ref="Q5:T5"/>
    <mergeCell ref="E5:E6"/>
    <mergeCell ref="F5:F6"/>
    <mergeCell ref="L3:S3"/>
    <mergeCell ref="K5:P5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S56"/>
  <sheetViews>
    <sheetView view="pageLayout" zoomScaleSheetLayoutView="85" workbookViewId="0" topLeftCell="A32">
      <selection activeCell="A55" sqref="A55:J55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1" width="8.50390625" style="89" customWidth="1"/>
    <col min="12" max="17" width="8.625" style="89" customWidth="1"/>
    <col min="18" max="18" width="9.875" style="89" customWidth="1"/>
    <col min="19" max="19" width="9.37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547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214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3"/>
      <c r="J3" s="4" t="s">
        <v>712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697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713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12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700</v>
      </c>
      <c r="R6" s="117" t="s">
        <v>708</v>
      </c>
      <c r="S6" s="117" t="s">
        <v>701</v>
      </c>
      <c r="T6" s="120" t="s">
        <v>711</v>
      </c>
    </row>
    <row r="7" spans="1:45" s="93" customFormat="1" ht="13.5" customHeight="1">
      <c r="A7" s="541" t="s">
        <v>546</v>
      </c>
      <c r="B7" s="507" t="s">
        <v>519</v>
      </c>
      <c r="C7" s="141" t="s">
        <v>702</v>
      </c>
      <c r="D7" s="140">
        <f>SUM(D8:D9)</f>
        <v>1356</v>
      </c>
      <c r="E7" s="56">
        <f aca="true" t="shared" si="0" ref="E7:T7">SUM(E8:E9)</f>
        <v>1356</v>
      </c>
      <c r="F7" s="56">
        <f t="shared" si="0"/>
        <v>0</v>
      </c>
      <c r="G7" s="56">
        <f>SUM(G8:G9)/2</f>
        <v>24</v>
      </c>
      <c r="H7" s="56">
        <f t="shared" si="0"/>
        <v>1</v>
      </c>
      <c r="I7" s="56">
        <f t="shared" si="0"/>
        <v>906</v>
      </c>
      <c r="J7" s="56">
        <f t="shared" si="0"/>
        <v>307</v>
      </c>
      <c r="K7" s="56">
        <f t="shared" si="0"/>
        <v>93</v>
      </c>
      <c r="L7" s="56">
        <f t="shared" si="0"/>
        <v>48</v>
      </c>
      <c r="M7" s="56">
        <f t="shared" si="0"/>
        <v>1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516"/>
      <c r="C8" s="143" t="s">
        <v>703</v>
      </c>
      <c r="D8" s="24">
        <v>1274</v>
      </c>
      <c r="E8" s="10">
        <v>1274</v>
      </c>
      <c r="F8" s="10">
        <v>0</v>
      </c>
      <c r="G8" s="10">
        <v>24</v>
      </c>
      <c r="H8" s="10">
        <v>1</v>
      </c>
      <c r="I8" s="10">
        <v>847</v>
      </c>
      <c r="J8" s="10">
        <v>292</v>
      </c>
      <c r="K8" s="10">
        <v>87</v>
      </c>
      <c r="L8" s="10">
        <v>46</v>
      </c>
      <c r="M8" s="10">
        <v>1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517"/>
      <c r="C9" s="144" t="s">
        <v>704</v>
      </c>
      <c r="D9" s="24">
        <v>82</v>
      </c>
      <c r="E9" s="10">
        <v>82</v>
      </c>
      <c r="F9" s="10">
        <v>0</v>
      </c>
      <c r="G9" s="10">
        <v>24</v>
      </c>
      <c r="H9" s="10">
        <v>0</v>
      </c>
      <c r="I9" s="10">
        <v>59</v>
      </c>
      <c r="J9" s="10">
        <v>15</v>
      </c>
      <c r="K9" s="10">
        <v>6</v>
      </c>
      <c r="L9" s="10">
        <v>2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542"/>
      <c r="B10" s="491" t="s">
        <v>520</v>
      </c>
      <c r="C10" s="141" t="s">
        <v>702</v>
      </c>
      <c r="D10" s="54">
        <f>SUM(D11:D12)</f>
        <v>1168</v>
      </c>
      <c r="E10" s="55">
        <f aca="true" t="shared" si="1" ref="E10:T10">SUM(E11:E12)</f>
        <v>1168</v>
      </c>
      <c r="F10" s="55">
        <f t="shared" si="1"/>
        <v>0</v>
      </c>
      <c r="G10" s="55">
        <v>23</v>
      </c>
      <c r="H10" s="55">
        <f t="shared" si="1"/>
        <v>2</v>
      </c>
      <c r="I10" s="55">
        <f t="shared" si="1"/>
        <v>897</v>
      </c>
      <c r="J10" s="55">
        <f t="shared" si="1"/>
        <v>154</v>
      </c>
      <c r="K10" s="55">
        <f t="shared" si="1"/>
        <v>64</v>
      </c>
      <c r="L10" s="55">
        <f t="shared" si="1"/>
        <v>46</v>
      </c>
      <c r="M10" s="55">
        <f t="shared" si="1"/>
        <v>5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0</v>
      </c>
      <c r="R10" s="55">
        <f t="shared" si="1"/>
        <v>0</v>
      </c>
      <c r="S10" s="55">
        <f t="shared" si="1"/>
        <v>0</v>
      </c>
      <c r="T10" s="55">
        <f t="shared" si="1"/>
        <v>0</v>
      </c>
    </row>
    <row r="11" spans="1:20" s="93" customFormat="1" ht="13.5" customHeight="1">
      <c r="A11" s="542"/>
      <c r="B11" s="492"/>
      <c r="C11" s="143" t="s">
        <v>703</v>
      </c>
      <c r="D11" s="64">
        <v>1067</v>
      </c>
      <c r="E11" s="49">
        <v>1067</v>
      </c>
      <c r="F11" s="58">
        <v>0</v>
      </c>
      <c r="G11" s="49">
        <v>23</v>
      </c>
      <c r="H11" s="49">
        <v>2</v>
      </c>
      <c r="I11" s="49">
        <v>821</v>
      </c>
      <c r="J11" s="59">
        <v>140</v>
      </c>
      <c r="K11" s="58">
        <v>57</v>
      </c>
      <c r="L11" s="58">
        <v>43</v>
      </c>
      <c r="M11" s="58">
        <v>4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</row>
    <row r="12" spans="1:20" s="93" customFormat="1" ht="13.5" customHeight="1">
      <c r="A12" s="542"/>
      <c r="B12" s="493"/>
      <c r="C12" s="144" t="s">
        <v>704</v>
      </c>
      <c r="D12" s="64">
        <v>101</v>
      </c>
      <c r="E12" s="49">
        <v>101</v>
      </c>
      <c r="F12" s="58">
        <v>0</v>
      </c>
      <c r="G12" s="49">
        <v>24</v>
      </c>
      <c r="H12" s="49">
        <v>0</v>
      </c>
      <c r="I12" s="49">
        <v>76</v>
      </c>
      <c r="J12" s="59">
        <v>14</v>
      </c>
      <c r="K12" s="58">
        <v>7</v>
      </c>
      <c r="L12" s="58">
        <v>3</v>
      </c>
      <c r="M12" s="58">
        <v>1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</row>
    <row r="13" spans="1:20" s="93" customFormat="1" ht="13.5" customHeight="1">
      <c r="A13" s="542"/>
      <c r="B13" s="491" t="s">
        <v>521</v>
      </c>
      <c r="C13" s="141" t="s">
        <v>702</v>
      </c>
      <c r="D13" s="54">
        <f>SUM(D14:D15)</f>
        <v>464</v>
      </c>
      <c r="E13" s="55">
        <f aca="true" t="shared" si="2" ref="E13:T13">SUM(E14:E15)</f>
        <v>464</v>
      </c>
      <c r="F13" s="55">
        <f t="shared" si="2"/>
        <v>0</v>
      </c>
      <c r="G13" s="55">
        <v>23</v>
      </c>
      <c r="H13" s="55">
        <f t="shared" si="2"/>
        <v>0</v>
      </c>
      <c r="I13" s="55">
        <f t="shared" si="2"/>
        <v>340</v>
      </c>
      <c r="J13" s="55">
        <f t="shared" si="2"/>
        <v>90</v>
      </c>
      <c r="K13" s="55">
        <f t="shared" si="2"/>
        <v>26</v>
      </c>
      <c r="L13" s="55">
        <f t="shared" si="2"/>
        <v>8</v>
      </c>
      <c r="M13" s="55">
        <f t="shared" si="2"/>
        <v>0</v>
      </c>
      <c r="N13" s="55">
        <f t="shared" si="2"/>
        <v>0</v>
      </c>
      <c r="O13" s="55">
        <f t="shared" si="2"/>
        <v>0</v>
      </c>
      <c r="P13" s="55">
        <f t="shared" si="2"/>
        <v>0</v>
      </c>
      <c r="Q13" s="55">
        <f t="shared" si="2"/>
        <v>3</v>
      </c>
      <c r="R13" s="55">
        <f t="shared" si="2"/>
        <v>461</v>
      </c>
      <c r="S13" s="55">
        <f t="shared" si="2"/>
        <v>0</v>
      </c>
      <c r="T13" s="55">
        <f t="shared" si="2"/>
        <v>0</v>
      </c>
    </row>
    <row r="14" spans="1:20" s="93" customFormat="1" ht="13.5" customHeight="1">
      <c r="A14" s="542"/>
      <c r="B14" s="492"/>
      <c r="C14" s="143" t="s">
        <v>703</v>
      </c>
      <c r="D14" s="64">
        <v>403</v>
      </c>
      <c r="E14" s="49">
        <v>403</v>
      </c>
      <c r="F14" s="58">
        <v>0</v>
      </c>
      <c r="G14" s="49">
        <v>23</v>
      </c>
      <c r="H14" s="49">
        <v>0</v>
      </c>
      <c r="I14" s="49">
        <v>288</v>
      </c>
      <c r="J14" s="59">
        <v>85</v>
      </c>
      <c r="K14" s="58">
        <v>22</v>
      </c>
      <c r="L14" s="58">
        <v>8</v>
      </c>
      <c r="M14" s="58">
        <v>0</v>
      </c>
      <c r="N14" s="58">
        <v>0</v>
      </c>
      <c r="O14" s="58">
        <v>0</v>
      </c>
      <c r="P14" s="58">
        <v>0</v>
      </c>
      <c r="Q14" s="58">
        <v>2</v>
      </c>
      <c r="R14" s="58">
        <v>401</v>
      </c>
      <c r="S14" s="58">
        <v>0</v>
      </c>
      <c r="T14" s="62">
        <v>0</v>
      </c>
    </row>
    <row r="15" spans="1:20" s="93" customFormat="1" ht="13.5" customHeight="1">
      <c r="A15" s="542"/>
      <c r="B15" s="493"/>
      <c r="C15" s="144" t="s">
        <v>704</v>
      </c>
      <c r="D15" s="64">
        <v>61</v>
      </c>
      <c r="E15" s="49">
        <v>61</v>
      </c>
      <c r="F15" s="58">
        <v>0</v>
      </c>
      <c r="G15" s="49">
        <v>21</v>
      </c>
      <c r="H15" s="49">
        <v>0</v>
      </c>
      <c r="I15" s="49">
        <v>52</v>
      </c>
      <c r="J15" s="59">
        <v>5</v>
      </c>
      <c r="K15" s="58">
        <v>4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60</v>
      </c>
      <c r="S15" s="58">
        <v>0</v>
      </c>
      <c r="T15" s="62">
        <v>0</v>
      </c>
    </row>
    <row r="16" spans="1:20" s="93" customFormat="1" ht="13.5" customHeight="1">
      <c r="A16" s="542"/>
      <c r="B16" s="491" t="s">
        <v>522</v>
      </c>
      <c r="C16" s="141" t="s">
        <v>702</v>
      </c>
      <c r="D16" s="54">
        <f>SUM(D17:D18)</f>
        <v>1421</v>
      </c>
      <c r="E16" s="55">
        <f aca="true" t="shared" si="3" ref="E16:T16">SUM(E17:E18)</f>
        <v>1421</v>
      </c>
      <c r="F16" s="55">
        <f t="shared" si="3"/>
        <v>0</v>
      </c>
      <c r="G16" s="55">
        <f>SUM(G17:G18)/2</f>
        <v>22</v>
      </c>
      <c r="H16" s="55">
        <f t="shared" si="3"/>
        <v>0</v>
      </c>
      <c r="I16" s="55">
        <f t="shared" si="3"/>
        <v>1100</v>
      </c>
      <c r="J16" s="55">
        <f t="shared" si="3"/>
        <v>176</v>
      </c>
      <c r="K16" s="55">
        <f t="shared" si="3"/>
        <v>81</v>
      </c>
      <c r="L16" s="55">
        <f t="shared" si="3"/>
        <v>62</v>
      </c>
      <c r="M16" s="55">
        <f t="shared" si="3"/>
        <v>2</v>
      </c>
      <c r="N16" s="55">
        <f t="shared" si="3"/>
        <v>0</v>
      </c>
      <c r="O16" s="55">
        <f t="shared" si="3"/>
        <v>0</v>
      </c>
      <c r="P16" s="55">
        <f t="shared" si="3"/>
        <v>0</v>
      </c>
      <c r="Q16" s="55">
        <f t="shared" si="3"/>
        <v>9</v>
      </c>
      <c r="R16" s="55">
        <f t="shared" si="3"/>
        <v>1410</v>
      </c>
      <c r="S16" s="55">
        <f t="shared" si="3"/>
        <v>2</v>
      </c>
      <c r="T16" s="55">
        <f t="shared" si="3"/>
        <v>0</v>
      </c>
    </row>
    <row r="17" spans="1:20" s="93" customFormat="1" ht="13.5" customHeight="1">
      <c r="A17" s="542"/>
      <c r="B17" s="492"/>
      <c r="C17" s="143" t="s">
        <v>703</v>
      </c>
      <c r="D17" s="64">
        <v>1271</v>
      </c>
      <c r="E17" s="49">
        <v>1271</v>
      </c>
      <c r="F17" s="49">
        <v>0</v>
      </c>
      <c r="G17" s="49">
        <v>22</v>
      </c>
      <c r="H17" s="49">
        <v>0</v>
      </c>
      <c r="I17" s="49">
        <v>991</v>
      </c>
      <c r="J17" s="49">
        <v>151</v>
      </c>
      <c r="K17" s="49">
        <v>69</v>
      </c>
      <c r="L17" s="49">
        <v>58</v>
      </c>
      <c r="M17" s="49">
        <v>2</v>
      </c>
      <c r="N17" s="49">
        <v>0</v>
      </c>
      <c r="O17" s="49">
        <v>0</v>
      </c>
      <c r="P17" s="49">
        <v>0</v>
      </c>
      <c r="Q17" s="49">
        <v>9</v>
      </c>
      <c r="R17" s="49">
        <v>1260</v>
      </c>
      <c r="S17" s="49">
        <v>2</v>
      </c>
      <c r="T17" s="49">
        <v>0</v>
      </c>
    </row>
    <row r="18" spans="1:20" s="93" customFormat="1" ht="13.5" customHeight="1">
      <c r="A18" s="542"/>
      <c r="B18" s="492"/>
      <c r="C18" s="144" t="s">
        <v>704</v>
      </c>
      <c r="D18" s="64">
        <v>150</v>
      </c>
      <c r="E18" s="49">
        <v>150</v>
      </c>
      <c r="F18" s="49">
        <v>0</v>
      </c>
      <c r="G18" s="49">
        <v>22</v>
      </c>
      <c r="H18" s="49">
        <v>0</v>
      </c>
      <c r="I18" s="49">
        <v>109</v>
      </c>
      <c r="J18" s="49">
        <v>25</v>
      </c>
      <c r="K18" s="49">
        <v>12</v>
      </c>
      <c r="L18" s="49">
        <v>4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150</v>
      </c>
      <c r="S18" s="49">
        <v>0</v>
      </c>
      <c r="T18" s="49">
        <v>0</v>
      </c>
    </row>
    <row r="19" spans="1:20" s="93" customFormat="1" ht="13.5" customHeight="1">
      <c r="A19" s="542"/>
      <c r="B19" s="491" t="s">
        <v>532</v>
      </c>
      <c r="C19" s="141" t="s">
        <v>702</v>
      </c>
      <c r="D19" s="54">
        <f>SUM(D20:D21)</f>
        <v>1856</v>
      </c>
      <c r="E19" s="55">
        <f aca="true" t="shared" si="4" ref="E19:T19">SUM(E20:E21)</f>
        <v>1855</v>
      </c>
      <c r="F19" s="55">
        <f t="shared" si="4"/>
        <v>1</v>
      </c>
      <c r="G19" s="55">
        <v>22</v>
      </c>
      <c r="H19" s="55">
        <f t="shared" si="4"/>
        <v>1</v>
      </c>
      <c r="I19" s="55">
        <f t="shared" si="4"/>
        <v>1063</v>
      </c>
      <c r="J19" s="55">
        <f t="shared" si="4"/>
        <v>708</v>
      </c>
      <c r="K19" s="55">
        <f t="shared" si="4"/>
        <v>64</v>
      </c>
      <c r="L19" s="55">
        <f t="shared" si="4"/>
        <v>19</v>
      </c>
      <c r="M19" s="55">
        <f t="shared" si="4"/>
        <v>1</v>
      </c>
      <c r="N19" s="55">
        <f t="shared" si="4"/>
        <v>0</v>
      </c>
      <c r="O19" s="55">
        <f t="shared" si="4"/>
        <v>0</v>
      </c>
      <c r="P19" s="55">
        <f t="shared" si="4"/>
        <v>0</v>
      </c>
      <c r="Q19" s="55">
        <f t="shared" si="4"/>
        <v>5</v>
      </c>
      <c r="R19" s="55">
        <f t="shared" si="4"/>
        <v>1770</v>
      </c>
      <c r="S19" s="55">
        <f t="shared" si="4"/>
        <v>81</v>
      </c>
      <c r="T19" s="55">
        <f t="shared" si="4"/>
        <v>0</v>
      </c>
    </row>
    <row r="20" spans="1:20" s="93" customFormat="1" ht="13.5" customHeight="1">
      <c r="A20" s="542"/>
      <c r="B20" s="492"/>
      <c r="C20" s="143" t="s">
        <v>703</v>
      </c>
      <c r="D20" s="64">
        <v>1646</v>
      </c>
      <c r="E20" s="49">
        <v>1646</v>
      </c>
      <c r="F20" s="58">
        <v>0</v>
      </c>
      <c r="G20" s="49">
        <v>22</v>
      </c>
      <c r="H20" s="49">
        <v>1</v>
      </c>
      <c r="I20" s="49">
        <v>938</v>
      </c>
      <c r="J20" s="59">
        <v>647</v>
      </c>
      <c r="K20" s="58">
        <v>44</v>
      </c>
      <c r="L20" s="58">
        <v>15</v>
      </c>
      <c r="M20" s="58">
        <v>1</v>
      </c>
      <c r="N20" s="58">
        <v>0</v>
      </c>
      <c r="O20" s="58">
        <v>0</v>
      </c>
      <c r="P20" s="58">
        <v>0</v>
      </c>
      <c r="Q20" s="58">
        <v>3</v>
      </c>
      <c r="R20" s="58">
        <v>1567</v>
      </c>
      <c r="S20" s="58">
        <v>76</v>
      </c>
      <c r="T20" s="58">
        <v>0</v>
      </c>
    </row>
    <row r="21" spans="1:20" s="93" customFormat="1" ht="13.5" customHeight="1">
      <c r="A21" s="542"/>
      <c r="B21" s="492"/>
      <c r="C21" s="144" t="s">
        <v>704</v>
      </c>
      <c r="D21" s="64">
        <v>210</v>
      </c>
      <c r="E21" s="49">
        <v>209</v>
      </c>
      <c r="F21" s="58">
        <v>1</v>
      </c>
      <c r="G21" s="49">
        <v>23</v>
      </c>
      <c r="H21" s="49">
        <v>0</v>
      </c>
      <c r="I21" s="49">
        <v>125</v>
      </c>
      <c r="J21" s="59">
        <v>61</v>
      </c>
      <c r="K21" s="58">
        <v>20</v>
      </c>
      <c r="L21" s="58">
        <v>4</v>
      </c>
      <c r="M21" s="58">
        <v>0</v>
      </c>
      <c r="N21" s="58">
        <v>0</v>
      </c>
      <c r="O21" s="58">
        <v>0</v>
      </c>
      <c r="P21" s="58">
        <v>0</v>
      </c>
      <c r="Q21" s="58">
        <v>2</v>
      </c>
      <c r="R21" s="58">
        <v>203</v>
      </c>
      <c r="S21" s="58">
        <v>5</v>
      </c>
      <c r="T21" s="58">
        <v>0</v>
      </c>
    </row>
    <row r="22" spans="1:20" s="93" customFormat="1" ht="13.5" customHeight="1">
      <c r="A22" s="538" t="s">
        <v>548</v>
      </c>
      <c r="B22" s="491" t="s">
        <v>533</v>
      </c>
      <c r="C22" s="141" t="s">
        <v>702</v>
      </c>
      <c r="D22" s="54">
        <f>SUM(D23:D24)</f>
        <v>3097</v>
      </c>
      <c r="E22" s="55">
        <f aca="true" t="shared" si="5" ref="E22:T22">SUM(E23:E24)</f>
        <v>3096</v>
      </c>
      <c r="F22" s="55">
        <f t="shared" si="5"/>
        <v>1</v>
      </c>
      <c r="G22" s="55">
        <f>SUM(G23:G24)/2</f>
        <v>24.5</v>
      </c>
      <c r="H22" s="55">
        <f t="shared" si="5"/>
        <v>0</v>
      </c>
      <c r="I22" s="55">
        <f t="shared" si="5"/>
        <v>1376</v>
      </c>
      <c r="J22" s="55">
        <f t="shared" si="5"/>
        <v>1599</v>
      </c>
      <c r="K22" s="55">
        <f t="shared" si="5"/>
        <v>88</v>
      </c>
      <c r="L22" s="55">
        <f t="shared" si="5"/>
        <v>34</v>
      </c>
      <c r="M22" s="55">
        <f t="shared" si="5"/>
        <v>0</v>
      </c>
      <c r="N22" s="55">
        <f t="shared" si="5"/>
        <v>0</v>
      </c>
      <c r="O22" s="55">
        <f t="shared" si="5"/>
        <v>0</v>
      </c>
      <c r="P22" s="55">
        <f t="shared" si="5"/>
        <v>0</v>
      </c>
      <c r="Q22" s="55">
        <f t="shared" si="5"/>
        <v>15</v>
      </c>
      <c r="R22" s="55">
        <f t="shared" si="5"/>
        <v>2802</v>
      </c>
      <c r="S22" s="55">
        <f t="shared" si="5"/>
        <v>280</v>
      </c>
      <c r="T22" s="55">
        <f t="shared" si="5"/>
        <v>0</v>
      </c>
    </row>
    <row r="23" spans="1:20" s="93" customFormat="1" ht="13.5" customHeight="1">
      <c r="A23" s="538"/>
      <c r="B23" s="492"/>
      <c r="C23" s="143" t="s">
        <v>703</v>
      </c>
      <c r="D23" s="64">
        <v>2782</v>
      </c>
      <c r="E23" s="49">
        <v>2781</v>
      </c>
      <c r="F23" s="58">
        <v>1</v>
      </c>
      <c r="G23" s="49">
        <v>25</v>
      </c>
      <c r="H23" s="49">
        <v>0</v>
      </c>
      <c r="I23" s="49">
        <v>1237</v>
      </c>
      <c r="J23" s="59">
        <v>1439</v>
      </c>
      <c r="K23" s="58">
        <v>78</v>
      </c>
      <c r="L23" s="58">
        <v>28</v>
      </c>
      <c r="M23" s="58">
        <v>0</v>
      </c>
      <c r="N23" s="58">
        <v>0</v>
      </c>
      <c r="O23" s="58">
        <v>0</v>
      </c>
      <c r="P23" s="58">
        <v>0</v>
      </c>
      <c r="Q23" s="58">
        <v>12</v>
      </c>
      <c r="R23" s="58">
        <v>2505</v>
      </c>
      <c r="S23" s="58">
        <v>265</v>
      </c>
      <c r="T23" s="58">
        <v>0</v>
      </c>
    </row>
    <row r="24" spans="1:20" s="93" customFormat="1" ht="13.5" customHeight="1">
      <c r="A24" s="538"/>
      <c r="B24" s="493"/>
      <c r="C24" s="144" t="s">
        <v>704</v>
      </c>
      <c r="D24" s="64">
        <v>315</v>
      </c>
      <c r="E24" s="49">
        <v>315</v>
      </c>
      <c r="F24" s="58">
        <v>0</v>
      </c>
      <c r="G24" s="49">
        <v>24</v>
      </c>
      <c r="H24" s="49">
        <v>0</v>
      </c>
      <c r="I24" s="49">
        <v>139</v>
      </c>
      <c r="J24" s="59">
        <v>160</v>
      </c>
      <c r="K24" s="58">
        <v>10</v>
      </c>
      <c r="L24" s="58">
        <v>6</v>
      </c>
      <c r="M24" s="58">
        <v>0</v>
      </c>
      <c r="N24" s="58">
        <v>0</v>
      </c>
      <c r="O24" s="58">
        <v>0</v>
      </c>
      <c r="P24" s="58">
        <v>0</v>
      </c>
      <c r="Q24" s="58">
        <v>3</v>
      </c>
      <c r="R24" s="58">
        <v>297</v>
      </c>
      <c r="S24" s="58">
        <v>15</v>
      </c>
      <c r="T24" s="58">
        <v>0</v>
      </c>
    </row>
    <row r="25" spans="1:20" s="93" customFormat="1" ht="13.5" customHeight="1">
      <c r="A25" s="538"/>
      <c r="B25" s="494" t="s">
        <v>534</v>
      </c>
      <c r="C25" s="141" t="s">
        <v>702</v>
      </c>
      <c r="D25" s="54">
        <f>SUM(D26:D27)</f>
        <v>4052</v>
      </c>
      <c r="E25" s="55">
        <f aca="true" t="shared" si="6" ref="E25:T25">SUM(E26:E27)</f>
        <v>4052</v>
      </c>
      <c r="F25" s="55">
        <f t="shared" si="6"/>
        <v>0</v>
      </c>
      <c r="G25" s="55">
        <v>27</v>
      </c>
      <c r="H25" s="55">
        <f t="shared" si="6"/>
        <v>0</v>
      </c>
      <c r="I25" s="55">
        <f t="shared" si="6"/>
        <v>1655</v>
      </c>
      <c r="J25" s="55">
        <f t="shared" si="6"/>
        <v>2028</v>
      </c>
      <c r="K25" s="55">
        <f t="shared" si="6"/>
        <v>280</v>
      </c>
      <c r="L25" s="55">
        <f t="shared" si="6"/>
        <v>87</v>
      </c>
      <c r="M25" s="55">
        <f t="shared" si="6"/>
        <v>2</v>
      </c>
      <c r="N25" s="55">
        <f t="shared" si="6"/>
        <v>0</v>
      </c>
      <c r="O25" s="55">
        <f t="shared" si="6"/>
        <v>0</v>
      </c>
      <c r="P25" s="55">
        <f t="shared" si="6"/>
        <v>0</v>
      </c>
      <c r="Q25" s="55">
        <f t="shared" si="6"/>
        <v>38</v>
      </c>
      <c r="R25" s="55">
        <f t="shared" si="6"/>
        <v>3622</v>
      </c>
      <c r="S25" s="55">
        <f t="shared" si="6"/>
        <v>392</v>
      </c>
      <c r="T25" s="55">
        <f t="shared" si="6"/>
        <v>0</v>
      </c>
    </row>
    <row r="26" spans="1:20" s="93" customFormat="1" ht="13.5" customHeight="1">
      <c r="A26" s="538"/>
      <c r="B26" s="494"/>
      <c r="C26" s="143" t="s">
        <v>703</v>
      </c>
      <c r="D26" s="64">
        <v>3490</v>
      </c>
      <c r="E26" s="49">
        <v>3490</v>
      </c>
      <c r="F26" s="58">
        <v>0</v>
      </c>
      <c r="G26" s="49">
        <v>27</v>
      </c>
      <c r="H26" s="49">
        <v>0</v>
      </c>
      <c r="I26" s="49">
        <v>1451</v>
      </c>
      <c r="J26" s="59">
        <v>1768</v>
      </c>
      <c r="K26" s="58">
        <v>210</v>
      </c>
      <c r="L26" s="58">
        <v>59</v>
      </c>
      <c r="M26" s="58">
        <v>2</v>
      </c>
      <c r="N26" s="58">
        <v>0</v>
      </c>
      <c r="O26" s="58">
        <v>0</v>
      </c>
      <c r="P26" s="58">
        <v>0</v>
      </c>
      <c r="Q26" s="58">
        <v>29</v>
      </c>
      <c r="R26" s="58">
        <v>3100</v>
      </c>
      <c r="S26" s="58">
        <v>361</v>
      </c>
      <c r="T26" s="62">
        <v>0</v>
      </c>
    </row>
    <row r="27" spans="1:20" s="93" customFormat="1" ht="13.5" customHeight="1">
      <c r="A27" s="538"/>
      <c r="B27" s="494"/>
      <c r="C27" s="144" t="s">
        <v>704</v>
      </c>
      <c r="D27" s="64">
        <v>562</v>
      </c>
      <c r="E27" s="49">
        <v>562</v>
      </c>
      <c r="F27" s="58">
        <v>0</v>
      </c>
      <c r="G27" s="49">
        <v>25</v>
      </c>
      <c r="H27" s="49">
        <v>0</v>
      </c>
      <c r="I27" s="49">
        <v>204</v>
      </c>
      <c r="J27" s="59">
        <v>260</v>
      </c>
      <c r="K27" s="58">
        <v>70</v>
      </c>
      <c r="L27" s="58">
        <v>28</v>
      </c>
      <c r="M27" s="58">
        <v>0</v>
      </c>
      <c r="N27" s="58">
        <v>0</v>
      </c>
      <c r="O27" s="58">
        <v>0</v>
      </c>
      <c r="P27" s="58">
        <v>0</v>
      </c>
      <c r="Q27" s="58">
        <v>9</v>
      </c>
      <c r="R27" s="58">
        <v>522</v>
      </c>
      <c r="S27" s="58">
        <v>31</v>
      </c>
      <c r="T27" s="62">
        <v>0</v>
      </c>
    </row>
    <row r="28" spans="1:20" s="93" customFormat="1" ht="13.5" customHeight="1">
      <c r="A28" s="538"/>
      <c r="B28" s="507" t="s">
        <v>535</v>
      </c>
      <c r="C28" s="141" t="s">
        <v>702</v>
      </c>
      <c r="D28" s="54">
        <f>SUM(D29:D30)</f>
        <v>3549</v>
      </c>
      <c r="E28" s="55">
        <f aca="true" t="shared" si="7" ref="E28:T28">SUM(E29:E30)</f>
        <v>3545</v>
      </c>
      <c r="F28" s="55">
        <f t="shared" si="7"/>
        <v>4</v>
      </c>
      <c r="G28" s="55">
        <f>SUM(G29:G30)/2</f>
        <v>23.5</v>
      </c>
      <c r="H28" s="55">
        <f t="shared" si="7"/>
        <v>1</v>
      </c>
      <c r="I28" s="55">
        <f t="shared" si="7"/>
        <v>1720</v>
      </c>
      <c r="J28" s="55">
        <f t="shared" si="7"/>
        <v>1406</v>
      </c>
      <c r="K28" s="55">
        <f t="shared" si="7"/>
        <v>301</v>
      </c>
      <c r="L28" s="55">
        <f t="shared" si="7"/>
        <v>121</v>
      </c>
      <c r="M28" s="55">
        <f t="shared" si="7"/>
        <v>0</v>
      </c>
      <c r="N28" s="55">
        <f t="shared" si="7"/>
        <v>0</v>
      </c>
      <c r="O28" s="55">
        <f t="shared" si="7"/>
        <v>0</v>
      </c>
      <c r="P28" s="55">
        <f t="shared" si="7"/>
        <v>0</v>
      </c>
      <c r="Q28" s="55">
        <f t="shared" si="7"/>
        <v>39</v>
      </c>
      <c r="R28" s="55">
        <f t="shared" si="7"/>
        <v>3329</v>
      </c>
      <c r="S28" s="55">
        <f t="shared" si="7"/>
        <v>181</v>
      </c>
      <c r="T28" s="55">
        <f t="shared" si="7"/>
        <v>0</v>
      </c>
    </row>
    <row r="29" spans="1:21" s="93" customFormat="1" ht="13.5" customHeight="1">
      <c r="A29" s="538"/>
      <c r="B29" s="516"/>
      <c r="C29" s="143" t="s">
        <v>703</v>
      </c>
      <c r="D29" s="64">
        <v>2847</v>
      </c>
      <c r="E29" s="49">
        <v>2843</v>
      </c>
      <c r="F29" s="58">
        <v>4</v>
      </c>
      <c r="G29" s="49">
        <v>24</v>
      </c>
      <c r="H29" s="49">
        <v>1</v>
      </c>
      <c r="I29" s="49">
        <v>1464</v>
      </c>
      <c r="J29" s="59">
        <v>1077</v>
      </c>
      <c r="K29" s="58">
        <v>208</v>
      </c>
      <c r="L29" s="58">
        <v>97</v>
      </c>
      <c r="M29" s="58">
        <v>0</v>
      </c>
      <c r="N29" s="58">
        <v>0</v>
      </c>
      <c r="O29" s="58">
        <v>0</v>
      </c>
      <c r="P29" s="58">
        <v>0</v>
      </c>
      <c r="Q29" s="58">
        <v>22</v>
      </c>
      <c r="R29" s="58">
        <v>2695</v>
      </c>
      <c r="S29" s="58">
        <v>130</v>
      </c>
      <c r="T29" s="62">
        <v>0</v>
      </c>
      <c r="U29" s="94"/>
    </row>
    <row r="30" spans="1:21" s="93" customFormat="1" ht="13.5" customHeight="1">
      <c r="A30" s="538"/>
      <c r="B30" s="517"/>
      <c r="C30" s="144" t="s">
        <v>704</v>
      </c>
      <c r="D30" s="64">
        <v>702</v>
      </c>
      <c r="E30" s="49">
        <v>702</v>
      </c>
      <c r="F30" s="58">
        <v>0</v>
      </c>
      <c r="G30" s="49">
        <v>23</v>
      </c>
      <c r="H30" s="49">
        <v>0</v>
      </c>
      <c r="I30" s="49">
        <v>256</v>
      </c>
      <c r="J30" s="59">
        <v>329</v>
      </c>
      <c r="K30" s="58">
        <v>93</v>
      </c>
      <c r="L30" s="58">
        <v>24</v>
      </c>
      <c r="M30" s="58">
        <v>0</v>
      </c>
      <c r="N30" s="58">
        <v>0</v>
      </c>
      <c r="O30" s="58">
        <v>0</v>
      </c>
      <c r="P30" s="58">
        <v>0</v>
      </c>
      <c r="Q30" s="58">
        <v>17</v>
      </c>
      <c r="R30" s="58">
        <v>634</v>
      </c>
      <c r="S30" s="58">
        <v>51</v>
      </c>
      <c r="T30" s="62">
        <v>0</v>
      </c>
      <c r="U30" s="94"/>
    </row>
    <row r="31" spans="1:20" s="93" customFormat="1" ht="13.5" customHeight="1">
      <c r="A31" s="538"/>
      <c r="B31" s="491" t="s">
        <v>536</v>
      </c>
      <c r="C31" s="141" t="s">
        <v>702</v>
      </c>
      <c r="D31" s="54">
        <f>SUM(D32:D33)</f>
        <v>2602</v>
      </c>
      <c r="E31" s="55">
        <f aca="true" t="shared" si="8" ref="E31:T31">SUM(E32:E33)</f>
        <v>2600</v>
      </c>
      <c r="F31" s="55">
        <f t="shared" si="8"/>
        <v>2</v>
      </c>
      <c r="G31" s="55">
        <f>SUM(G32:G33)/2</f>
        <v>27</v>
      </c>
      <c r="H31" s="55">
        <f t="shared" si="8"/>
        <v>0</v>
      </c>
      <c r="I31" s="55">
        <f t="shared" si="8"/>
        <v>349</v>
      </c>
      <c r="J31" s="55">
        <f t="shared" si="8"/>
        <v>1723</v>
      </c>
      <c r="K31" s="55">
        <f t="shared" si="8"/>
        <v>398</v>
      </c>
      <c r="L31" s="55">
        <f t="shared" si="8"/>
        <v>132</v>
      </c>
      <c r="M31" s="55">
        <f t="shared" si="8"/>
        <v>0</v>
      </c>
      <c r="N31" s="55">
        <f t="shared" si="8"/>
        <v>0</v>
      </c>
      <c r="O31" s="55">
        <f t="shared" si="8"/>
        <v>0</v>
      </c>
      <c r="P31" s="55">
        <f t="shared" si="8"/>
        <v>0</v>
      </c>
      <c r="Q31" s="55">
        <f t="shared" si="8"/>
        <v>67</v>
      </c>
      <c r="R31" s="55">
        <f t="shared" si="8"/>
        <v>2374</v>
      </c>
      <c r="S31" s="55">
        <f t="shared" si="8"/>
        <v>161</v>
      </c>
      <c r="T31" s="55">
        <f t="shared" si="8"/>
        <v>0</v>
      </c>
    </row>
    <row r="32" spans="1:21" s="93" customFormat="1" ht="13.5" customHeight="1">
      <c r="A32" s="538"/>
      <c r="B32" s="492"/>
      <c r="C32" s="143" t="s">
        <v>703</v>
      </c>
      <c r="D32" s="64">
        <v>1967</v>
      </c>
      <c r="E32" s="49">
        <v>1965</v>
      </c>
      <c r="F32" s="49">
        <v>2</v>
      </c>
      <c r="G32" s="49">
        <v>27</v>
      </c>
      <c r="H32" s="49">
        <v>0</v>
      </c>
      <c r="I32" s="49">
        <v>269</v>
      </c>
      <c r="J32" s="49">
        <v>1318</v>
      </c>
      <c r="K32" s="49">
        <v>281</v>
      </c>
      <c r="L32" s="49">
        <v>99</v>
      </c>
      <c r="M32" s="49">
        <v>0</v>
      </c>
      <c r="N32" s="49">
        <v>0</v>
      </c>
      <c r="O32" s="49">
        <v>0</v>
      </c>
      <c r="P32" s="49">
        <v>0</v>
      </c>
      <c r="Q32" s="49">
        <v>57</v>
      </c>
      <c r="R32" s="49">
        <v>1783</v>
      </c>
      <c r="S32" s="49">
        <v>127</v>
      </c>
      <c r="T32" s="49">
        <v>0</v>
      </c>
      <c r="U32" s="94"/>
    </row>
    <row r="33" spans="1:21" s="93" customFormat="1" ht="13.5" customHeight="1">
      <c r="A33" s="538"/>
      <c r="B33" s="493"/>
      <c r="C33" s="144" t="s">
        <v>704</v>
      </c>
      <c r="D33" s="64">
        <v>635</v>
      </c>
      <c r="E33" s="49">
        <v>635</v>
      </c>
      <c r="F33" s="49">
        <v>0</v>
      </c>
      <c r="G33" s="49">
        <v>27</v>
      </c>
      <c r="H33" s="49">
        <v>0</v>
      </c>
      <c r="I33" s="49">
        <v>80</v>
      </c>
      <c r="J33" s="49">
        <v>405</v>
      </c>
      <c r="K33" s="49">
        <v>117</v>
      </c>
      <c r="L33" s="49">
        <v>33</v>
      </c>
      <c r="M33" s="49">
        <v>0</v>
      </c>
      <c r="N33" s="49">
        <v>0</v>
      </c>
      <c r="O33" s="49">
        <v>0</v>
      </c>
      <c r="P33" s="49">
        <v>0</v>
      </c>
      <c r="Q33" s="49">
        <v>10</v>
      </c>
      <c r="R33" s="49">
        <v>591</v>
      </c>
      <c r="S33" s="49">
        <v>34</v>
      </c>
      <c r="T33" s="49">
        <v>0</v>
      </c>
      <c r="U33" s="94"/>
    </row>
    <row r="34" spans="1:20" s="85" customFormat="1" ht="13.5" customHeight="1">
      <c r="A34" s="538"/>
      <c r="B34" s="491" t="s">
        <v>537</v>
      </c>
      <c r="C34" s="141" t="s">
        <v>702</v>
      </c>
      <c r="D34" s="54">
        <f>SUM(D35:D36)</f>
        <v>1375</v>
      </c>
      <c r="E34" s="55">
        <f aca="true" t="shared" si="9" ref="E34:T34">SUM(E35:E36)</f>
        <v>1375</v>
      </c>
      <c r="F34" s="55">
        <f t="shared" si="9"/>
        <v>0</v>
      </c>
      <c r="G34" s="55">
        <v>29</v>
      </c>
      <c r="H34" s="55">
        <f t="shared" si="9"/>
        <v>0</v>
      </c>
      <c r="I34" s="55">
        <f t="shared" si="9"/>
        <v>537</v>
      </c>
      <c r="J34" s="55">
        <f t="shared" si="9"/>
        <v>427</v>
      </c>
      <c r="K34" s="55">
        <f t="shared" si="9"/>
        <v>287</v>
      </c>
      <c r="L34" s="55">
        <f t="shared" si="9"/>
        <v>123</v>
      </c>
      <c r="M34" s="55">
        <f t="shared" si="9"/>
        <v>1</v>
      </c>
      <c r="N34" s="55">
        <f t="shared" si="9"/>
        <v>0</v>
      </c>
      <c r="O34" s="55">
        <f t="shared" si="9"/>
        <v>0</v>
      </c>
      <c r="P34" s="55">
        <f t="shared" si="9"/>
        <v>0</v>
      </c>
      <c r="Q34" s="55">
        <f t="shared" si="9"/>
        <v>67</v>
      </c>
      <c r="R34" s="55">
        <f t="shared" si="9"/>
        <v>1290</v>
      </c>
      <c r="S34" s="55">
        <f t="shared" si="9"/>
        <v>18</v>
      </c>
      <c r="T34" s="55">
        <f t="shared" si="9"/>
        <v>0</v>
      </c>
    </row>
    <row r="35" spans="1:20" s="85" customFormat="1" ht="13.5" customHeight="1">
      <c r="A35" s="538"/>
      <c r="B35" s="492"/>
      <c r="C35" s="143" t="s">
        <v>703</v>
      </c>
      <c r="D35" s="64">
        <v>1005</v>
      </c>
      <c r="E35" s="49">
        <v>1005</v>
      </c>
      <c r="F35" s="59">
        <v>0</v>
      </c>
      <c r="G35" s="58">
        <v>30</v>
      </c>
      <c r="H35" s="58">
        <v>0</v>
      </c>
      <c r="I35" s="58">
        <v>438</v>
      </c>
      <c r="J35" s="58">
        <v>259</v>
      </c>
      <c r="K35" s="58">
        <v>214</v>
      </c>
      <c r="L35" s="58">
        <v>93</v>
      </c>
      <c r="M35" s="58">
        <v>1</v>
      </c>
      <c r="N35" s="58">
        <v>0</v>
      </c>
      <c r="O35" s="58">
        <v>0</v>
      </c>
      <c r="P35" s="59">
        <v>0</v>
      </c>
      <c r="Q35" s="59">
        <v>46</v>
      </c>
      <c r="R35" s="59">
        <v>952</v>
      </c>
      <c r="S35" s="59">
        <v>7</v>
      </c>
      <c r="T35" s="49">
        <v>0</v>
      </c>
    </row>
    <row r="36" spans="1:20" s="85" customFormat="1" ht="13.5" customHeight="1">
      <c r="A36" s="538"/>
      <c r="B36" s="492"/>
      <c r="C36" s="143" t="s">
        <v>704</v>
      </c>
      <c r="D36" s="64">
        <v>370</v>
      </c>
      <c r="E36" s="49">
        <v>370</v>
      </c>
      <c r="F36" s="59">
        <v>0</v>
      </c>
      <c r="G36" s="58">
        <v>26</v>
      </c>
      <c r="H36" s="58">
        <v>0</v>
      </c>
      <c r="I36" s="58">
        <v>99</v>
      </c>
      <c r="J36" s="58">
        <v>168</v>
      </c>
      <c r="K36" s="58">
        <v>73</v>
      </c>
      <c r="L36" s="58">
        <v>30</v>
      </c>
      <c r="M36" s="58">
        <v>0</v>
      </c>
      <c r="N36" s="58">
        <v>0</v>
      </c>
      <c r="O36" s="58">
        <v>0</v>
      </c>
      <c r="P36" s="59">
        <v>0</v>
      </c>
      <c r="Q36" s="59">
        <v>21</v>
      </c>
      <c r="R36" s="59">
        <v>338</v>
      </c>
      <c r="S36" s="59">
        <v>11</v>
      </c>
      <c r="T36" s="49">
        <v>0</v>
      </c>
    </row>
    <row r="37" spans="1:20" s="85" customFormat="1" ht="13.5" customHeight="1">
      <c r="A37" s="541" t="s">
        <v>549</v>
      </c>
      <c r="B37" s="536" t="s">
        <v>518</v>
      </c>
      <c r="C37" s="141" t="s">
        <v>702</v>
      </c>
      <c r="D37" s="140">
        <f>SUM(D40,D43,D46)+SUM('表32(續5)'!D7,'表32(續5)'!D10,'表32(續5)'!D13,'表32(續5)'!D16,'表32(續5)'!D19,'表32(續5)'!D22)</f>
        <v>303</v>
      </c>
      <c r="E37" s="56">
        <f>SUM(E40,E43,E46)+SUM('表32(續5)'!E7,'表32(續5)'!E10,'表32(續5)'!E13,'表32(續5)'!E16,'表32(續5)'!E19,'表32(續5)'!E22)</f>
        <v>303</v>
      </c>
      <c r="F37" s="56">
        <f>SUM(F40,F43,F46)+SUM('表32(續5)'!F7,'表32(續5)'!F10,'表32(續5)'!F13,'表32(續5)'!F16,'表32(續5)'!F19,'表32(續5)'!F22)</f>
        <v>0</v>
      </c>
      <c r="G37" s="56">
        <f>(SUM(G40,G43,G46)+SUM('表32(續5)'!G7,'表32(續5)'!G10,'表32(續5)'!G13,'表32(續5)'!G16,'表32(續5)'!G19,'表32(續5)'!G22))/9</f>
        <v>28.555555555555557</v>
      </c>
      <c r="H37" s="56">
        <f>SUM(H40,H43,H46)+SUM('表32(續5)'!H7,'表32(續5)'!H10,'表32(續5)'!H13,'表32(續5)'!H16,'表32(續5)'!H19,'表32(續5)'!H22)</f>
        <v>0</v>
      </c>
      <c r="I37" s="56">
        <f>SUM(I40,I43,I46)+SUM('表32(續5)'!I7,'表32(續5)'!I10,'表32(續5)'!I13,'表32(續5)'!I16,'表32(續5)'!I19,'表32(續5)'!I22)</f>
        <v>15</v>
      </c>
      <c r="J37" s="56">
        <f>SUM(J40,J43,J46)+SUM('表32(續5)'!J7,'表32(續5)'!J10,'表32(續5)'!J13,'表32(續5)'!J16,'表32(續5)'!J19,'表32(續5)'!J22)</f>
        <v>164</v>
      </c>
      <c r="K37" s="56">
        <f>SUM(K40,K43,K46)+SUM('表32(續5)'!K7,'表32(續5)'!K10,'表32(續5)'!K13,'表32(續5)'!K16,'表32(續5)'!K19,'表32(續5)'!K22)</f>
        <v>107</v>
      </c>
      <c r="L37" s="56">
        <f>SUM(L40,L43,L46)+SUM('表32(續5)'!L7,'表32(續5)'!L10,'表32(續5)'!L13,'表32(續5)'!L16,'表32(續5)'!L19,'表32(續5)'!L22)</f>
        <v>14</v>
      </c>
      <c r="M37" s="56">
        <f>SUM(M40,M43,M46)+SUM('表32(續5)'!M7,'表32(續5)'!M10,'表32(續5)'!M13,'表32(續5)'!M16,'表32(續5)'!M19,'表32(續5)'!M22)</f>
        <v>3</v>
      </c>
      <c r="N37" s="56">
        <f>SUM(N40,N43,N46)+SUM('表32(續5)'!N7,'表32(續5)'!N10,'表32(續5)'!N13,'表32(續5)'!N16,'表32(續5)'!N19,'表32(續5)'!N22)</f>
        <v>0</v>
      </c>
      <c r="O37" s="56">
        <f>SUM(O40,O43,O46)+SUM('表32(續5)'!O7,'表32(續5)'!O10,'表32(續5)'!O13,'表32(續5)'!O16,'表32(續5)'!O19,'表32(續5)'!O22)</f>
        <v>0</v>
      </c>
      <c r="P37" s="56">
        <f>SUM(P40,P43,P46)+SUM('表32(續5)'!P7,'表32(續5)'!P10,'表32(續5)'!P13,'表32(續5)'!P16,'表32(續5)'!P19,'表32(續5)'!P22)</f>
        <v>0</v>
      </c>
      <c r="Q37" s="56">
        <f>SUM(Q40,Q43,Q46)+SUM('表32(續5)'!Q7,'表32(續5)'!Q10,'表32(續5)'!Q13,'表32(續5)'!Q16,'表32(續5)'!Q19,'表32(續5)'!Q22)</f>
        <v>48</v>
      </c>
      <c r="R37" s="56">
        <f>SUM(R40,R43,R46)+SUM('表32(續5)'!R7,'表32(續5)'!R10,'表32(續5)'!R13,'表32(續5)'!R16,'表32(續5)'!R19,'表32(續5)'!R22)</f>
        <v>188</v>
      </c>
      <c r="S37" s="56">
        <f>SUM(S40,S43,S46)+SUM('表32(續5)'!S7,'表32(續5)'!S10,'表32(續5)'!S13,'表32(續5)'!S16,'表32(續5)'!S19,'表32(續5)'!S22)</f>
        <v>2</v>
      </c>
      <c r="T37" s="56">
        <f>SUM(T40,T43,T46)+SUM('表32(續5)'!T7,'表32(續5)'!T10,'表32(續5)'!T13,'表32(續5)'!T16,'表32(續5)'!T19,'表32(續5)'!T22)</f>
        <v>0</v>
      </c>
    </row>
    <row r="38" spans="1:20" s="85" customFormat="1" ht="13.5" customHeight="1">
      <c r="A38" s="542"/>
      <c r="B38" s="492"/>
      <c r="C38" s="143" t="s">
        <v>703</v>
      </c>
      <c r="D38" s="10">
        <f>SUM(D41,D44,D47)+SUM('表32(續5)'!D8,'表32(續5)'!D11,'表32(續5)'!D14,'表32(續5)'!D17,'表32(續5)'!D20,'表32(續5)'!D23)</f>
        <v>147</v>
      </c>
      <c r="E38" s="10">
        <f>SUM(E41,E44,E47)+SUM('表32(續5)'!E8,'表32(續5)'!E11,'表32(續5)'!E14,'表32(續5)'!E17,'表32(續5)'!E20,'表32(續5)'!E23)</f>
        <v>147</v>
      </c>
      <c r="F38" s="10">
        <f>SUM(F41,F44,F47)+SUM('表32(續5)'!F8,'表32(續5)'!F11,'表32(續5)'!F14,'表32(續5)'!F17,'表32(續5)'!F20,'表32(續5)'!F23)</f>
        <v>0</v>
      </c>
      <c r="G38" s="10">
        <f>(SUM(G41,G44,G47)+SUM('表32(續5)'!G8,'表32(續5)'!G11,'表32(續5)'!G14,'表32(續5)'!G17,'表32(續5)'!G20,'表32(續5)'!G23))/9</f>
        <v>29.22222222222222</v>
      </c>
      <c r="H38" s="10">
        <f>SUM(H41,H44,H47)+SUM('表32(續5)'!H8,'表32(續5)'!H11,'表32(續5)'!H14,'表32(續5)'!H17,'表32(續5)'!H20,'表32(續5)'!H23)</f>
        <v>0</v>
      </c>
      <c r="I38" s="10">
        <f>SUM(I41,I44,I47)+SUM('表32(續5)'!I8,'表32(續5)'!I11,'表32(續5)'!I14,'表32(續5)'!I17,'表32(續5)'!I20,'表32(續5)'!I23)</f>
        <v>3</v>
      </c>
      <c r="J38" s="10">
        <f>SUM(J41,J44,J47)+SUM('表32(續5)'!J8,'表32(續5)'!J11,'表32(續5)'!J14,'表32(續5)'!J17,'表32(續5)'!J20,'表32(續5)'!J23)</f>
        <v>82</v>
      </c>
      <c r="K38" s="10">
        <f>SUM(K41,K44,K47)+SUM('表32(續5)'!K8,'表32(續5)'!K11,'表32(續5)'!K14,'表32(續5)'!K17,'表32(續5)'!K20,'表32(續5)'!K23)</f>
        <v>51</v>
      </c>
      <c r="L38" s="10">
        <f>SUM(L41,L44,L47)+SUM('表32(續5)'!L8,'表32(續5)'!L11,'表32(續5)'!L14,'表32(續5)'!L17,'表32(續5)'!L20,'表32(續5)'!L23)</f>
        <v>9</v>
      </c>
      <c r="M38" s="10">
        <f>SUM(M41,M44,M47)+SUM('表32(續5)'!M8,'表32(續5)'!M11,'表32(續5)'!M14,'表32(續5)'!M17,'表32(續5)'!M20,'表32(續5)'!M23)</f>
        <v>2</v>
      </c>
      <c r="N38" s="10">
        <f>SUM(N41,N44,N47)+SUM('表32(續5)'!N8,'表32(續5)'!N11,'表32(續5)'!N14,'表32(續5)'!N17,'表32(續5)'!N20,'表32(續5)'!N23)</f>
        <v>0</v>
      </c>
      <c r="O38" s="10">
        <f>SUM(O41,O44,O47)+SUM('表32(續5)'!O8,'表32(續5)'!O11,'表32(續5)'!O14,'表32(續5)'!O17,'表32(續5)'!O20,'表32(續5)'!O23)</f>
        <v>0</v>
      </c>
      <c r="P38" s="10">
        <f>SUM(P41,P44,P47)+SUM('表32(續5)'!P8,'表32(續5)'!P11,'表32(續5)'!P14,'表32(續5)'!P17,'表32(續5)'!P20,'表32(續5)'!P23)</f>
        <v>0</v>
      </c>
      <c r="Q38" s="10">
        <f>SUM(Q41,Q44,Q47)+SUM('表32(續5)'!Q8,'表32(續5)'!Q11,'表32(續5)'!Q14,'表32(續5)'!Q17,'表32(續5)'!Q20,'表32(續5)'!Q23)</f>
        <v>24</v>
      </c>
      <c r="R38" s="10">
        <f>SUM(R41,R44,R47)+SUM('表32(續5)'!R8,'表32(續5)'!R11,'表32(續5)'!R14,'表32(續5)'!R17,'表32(續5)'!R20,'表32(續5)'!R23)</f>
        <v>85</v>
      </c>
      <c r="S38" s="10">
        <f>SUM(S41,S44,S47)+SUM('表32(續5)'!S8,'表32(續5)'!S11,'表32(續5)'!S14,'表32(續5)'!S17,'表32(續5)'!S20,'表32(續5)'!S23)</f>
        <v>1</v>
      </c>
      <c r="T38" s="10">
        <f>SUM(T41,T44,T47)+SUM('表32(續5)'!T8,'表32(續5)'!T11,'表32(續5)'!T14,'表32(續5)'!T17,'表32(續5)'!T20,'表32(續5)'!T23)</f>
        <v>0</v>
      </c>
    </row>
    <row r="39" spans="1:20" s="85" customFormat="1" ht="13.5" customHeight="1">
      <c r="A39" s="542"/>
      <c r="B39" s="492"/>
      <c r="C39" s="144" t="s">
        <v>704</v>
      </c>
      <c r="D39" s="10">
        <f>SUM(D42,D45,D48)+SUM('表32(續5)'!D9,'表32(續5)'!D12,'表32(續5)'!D15,'表32(續5)'!D18,'表32(續5)'!D21,'表32(續5)'!D24)</f>
        <v>156</v>
      </c>
      <c r="E39" s="10">
        <f>SUM(E42,E45,E48)+SUM('表32(續5)'!E9,'表32(續5)'!E12,'表32(續5)'!E15,'表32(續5)'!E18,'表32(續5)'!E21,'表32(續5)'!E24)</f>
        <v>156</v>
      </c>
      <c r="F39" s="10">
        <f>SUM(F42,F45,F48)+SUM('表32(續5)'!F9,'表32(續5)'!F12,'表32(續5)'!F15,'表32(續5)'!F18,'表32(續5)'!F21,'表32(續5)'!F24)</f>
        <v>0</v>
      </c>
      <c r="G39" s="10">
        <f>(SUM(G42,G45,G48)+SUM('表32(續5)'!G9,'表32(續5)'!G12,'表32(續5)'!G15,'表32(續5)'!G18,'表32(續5)'!G21,'表32(續5)'!G24))/9</f>
        <v>28.333333333333332</v>
      </c>
      <c r="H39" s="10">
        <f>SUM(H42,H45,H48)+SUM('表32(續5)'!H9,'表32(續5)'!H12,'表32(續5)'!H15,'表32(續5)'!H18,'表32(續5)'!H21,'表32(續5)'!H24)</f>
        <v>0</v>
      </c>
      <c r="I39" s="10">
        <f>SUM(I42,I45,I48)+SUM('表32(續5)'!I9,'表32(續5)'!I12,'表32(續5)'!I15,'表32(續5)'!I18,'表32(續5)'!I21,'表32(續5)'!I24)</f>
        <v>12</v>
      </c>
      <c r="J39" s="10">
        <f>SUM(J42,J45,J48)+SUM('表32(續5)'!J9,'表32(續5)'!J12,'表32(續5)'!J15,'表32(續5)'!J18,'表32(續5)'!J21,'表32(續5)'!J24)</f>
        <v>82</v>
      </c>
      <c r="K39" s="10">
        <f>SUM(K42,K45,K48)+SUM('表32(續5)'!K9,'表32(續5)'!K12,'表32(續5)'!K15,'表32(續5)'!K18,'表32(續5)'!K21,'表32(續5)'!K24)</f>
        <v>56</v>
      </c>
      <c r="L39" s="10">
        <f>SUM(L42,L45,L48)+SUM('表32(續5)'!L9,'表32(續5)'!L12,'表32(續5)'!L15,'表32(續5)'!L18,'表32(續5)'!L21,'表32(續5)'!L24)</f>
        <v>5</v>
      </c>
      <c r="M39" s="10">
        <f>SUM(M42,M45,M48)+SUM('表32(續5)'!M9,'表32(續5)'!M12,'表32(續5)'!M15,'表32(續5)'!M18,'表32(續5)'!M21,'表32(續5)'!M24)</f>
        <v>1</v>
      </c>
      <c r="N39" s="10">
        <f>SUM(N42,N45,N48)+SUM('表32(續5)'!N9,'表32(續5)'!N12,'表32(續5)'!N15,'表32(續5)'!N18,'表32(續5)'!N21,'表32(續5)'!N24)</f>
        <v>0</v>
      </c>
      <c r="O39" s="10">
        <f>SUM(O42,O45,O48)+SUM('表32(續5)'!O9,'表32(續5)'!O12,'表32(續5)'!O15,'表32(續5)'!O18,'表32(續5)'!O21,'表32(續5)'!O24)</f>
        <v>0</v>
      </c>
      <c r="P39" s="10">
        <f>SUM(P42,P45,P48)+SUM('表32(續5)'!P9,'表32(續5)'!P12,'表32(續5)'!P15,'表32(續5)'!P18,'表32(續5)'!P21,'表32(續5)'!P24)</f>
        <v>0</v>
      </c>
      <c r="Q39" s="10">
        <f>SUM(Q42,Q45,Q48)+SUM('表32(續5)'!Q9,'表32(續5)'!Q12,'表32(續5)'!Q15,'表32(續5)'!Q18,'表32(續5)'!Q21,'表32(續5)'!Q24)</f>
        <v>24</v>
      </c>
      <c r="R39" s="10">
        <f>SUM(R42,R45,R48)+SUM('表32(續5)'!R9,'表32(續5)'!R12,'表32(續5)'!R15,'表32(續5)'!R18,'表32(續5)'!R21,'表32(續5)'!R24)</f>
        <v>103</v>
      </c>
      <c r="S39" s="10">
        <f>SUM(S42,S45,S48)+SUM('表32(續5)'!S9,'表32(續5)'!S12,'表32(續5)'!S15,'表32(續5)'!S18,'表32(續5)'!S21,'表32(續5)'!S24)</f>
        <v>1</v>
      </c>
      <c r="T39" s="10">
        <f>SUM(T42,T45,T48)+SUM('表32(續5)'!T9,'表32(續5)'!T12,'表32(續5)'!T15,'表32(續5)'!T18,'表32(續5)'!T21,'表32(續5)'!T24)</f>
        <v>0</v>
      </c>
    </row>
    <row r="40" spans="1:20" s="85" customFormat="1" ht="13.5" customHeight="1">
      <c r="A40" s="542"/>
      <c r="B40" s="491" t="s">
        <v>519</v>
      </c>
      <c r="C40" s="141" t="s">
        <v>702</v>
      </c>
      <c r="D40" s="55">
        <f>SUM(D41:D42)</f>
        <v>38</v>
      </c>
      <c r="E40" s="55">
        <f aca="true" t="shared" si="10" ref="E40:T40">SUM(E41:E42)</f>
        <v>38</v>
      </c>
      <c r="F40" s="55">
        <f t="shared" si="10"/>
        <v>0</v>
      </c>
      <c r="G40" s="55">
        <f>SUM(G41:G42)/2</f>
        <v>29</v>
      </c>
      <c r="H40" s="55">
        <f t="shared" si="10"/>
        <v>0</v>
      </c>
      <c r="I40" s="55">
        <f t="shared" si="10"/>
        <v>3</v>
      </c>
      <c r="J40" s="55">
        <f t="shared" si="10"/>
        <v>15</v>
      </c>
      <c r="K40" s="55">
        <f t="shared" si="10"/>
        <v>18</v>
      </c>
      <c r="L40" s="55">
        <f t="shared" si="10"/>
        <v>2</v>
      </c>
      <c r="M40" s="55">
        <f t="shared" si="10"/>
        <v>0</v>
      </c>
      <c r="N40" s="55">
        <f t="shared" si="10"/>
        <v>0</v>
      </c>
      <c r="O40" s="55">
        <f t="shared" si="10"/>
        <v>0</v>
      </c>
      <c r="P40" s="55">
        <f t="shared" si="10"/>
        <v>0</v>
      </c>
      <c r="Q40" s="55">
        <f t="shared" si="10"/>
        <v>0</v>
      </c>
      <c r="R40" s="55">
        <f t="shared" si="10"/>
        <v>0</v>
      </c>
      <c r="S40" s="55">
        <f t="shared" si="10"/>
        <v>0</v>
      </c>
      <c r="T40" s="55">
        <f t="shared" si="10"/>
        <v>0</v>
      </c>
    </row>
    <row r="41" spans="1:20" s="85" customFormat="1" ht="13.5" customHeight="1">
      <c r="A41" s="542"/>
      <c r="B41" s="492"/>
      <c r="C41" s="143" t="s">
        <v>703</v>
      </c>
      <c r="D41" s="10">
        <v>20</v>
      </c>
      <c r="E41" s="10">
        <v>20</v>
      </c>
      <c r="F41" s="10">
        <v>0</v>
      </c>
      <c r="G41" s="10">
        <v>29</v>
      </c>
      <c r="H41" s="10">
        <v>0</v>
      </c>
      <c r="I41" s="10">
        <v>1</v>
      </c>
      <c r="J41" s="10">
        <v>10</v>
      </c>
      <c r="K41" s="10">
        <v>8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49">
        <v>0</v>
      </c>
    </row>
    <row r="42" spans="1:20" s="85" customFormat="1" ht="13.5" customHeight="1">
      <c r="A42" s="542"/>
      <c r="B42" s="493"/>
      <c r="C42" s="144" t="s">
        <v>704</v>
      </c>
      <c r="D42" s="10">
        <v>18</v>
      </c>
      <c r="E42" s="10">
        <v>18</v>
      </c>
      <c r="F42" s="10">
        <v>0</v>
      </c>
      <c r="G42" s="10">
        <v>29</v>
      </c>
      <c r="H42" s="10">
        <v>0</v>
      </c>
      <c r="I42" s="10">
        <v>2</v>
      </c>
      <c r="J42" s="10">
        <v>5</v>
      </c>
      <c r="K42" s="10">
        <v>10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49">
        <v>0</v>
      </c>
    </row>
    <row r="43" spans="1:20" s="93" customFormat="1" ht="13.5" customHeight="1">
      <c r="A43" s="538" t="s">
        <v>550</v>
      </c>
      <c r="B43" s="491" t="s">
        <v>520</v>
      </c>
      <c r="C43" s="141" t="s">
        <v>702</v>
      </c>
      <c r="D43" s="55">
        <f>SUM(D44:D45)</f>
        <v>27</v>
      </c>
      <c r="E43" s="55">
        <f aca="true" t="shared" si="11" ref="E43:T43">SUM(E44:E45)</f>
        <v>27</v>
      </c>
      <c r="F43" s="55">
        <f t="shared" si="11"/>
        <v>0</v>
      </c>
      <c r="G43" s="55">
        <v>28</v>
      </c>
      <c r="H43" s="55">
        <f t="shared" si="11"/>
        <v>0</v>
      </c>
      <c r="I43" s="55">
        <f t="shared" si="11"/>
        <v>2</v>
      </c>
      <c r="J43" s="55">
        <f t="shared" si="11"/>
        <v>15</v>
      </c>
      <c r="K43" s="55">
        <f t="shared" si="11"/>
        <v>8</v>
      </c>
      <c r="L43" s="55">
        <f t="shared" si="11"/>
        <v>2</v>
      </c>
      <c r="M43" s="55">
        <f t="shared" si="11"/>
        <v>0</v>
      </c>
      <c r="N43" s="55">
        <f t="shared" si="11"/>
        <v>0</v>
      </c>
      <c r="O43" s="55">
        <f t="shared" si="11"/>
        <v>0</v>
      </c>
      <c r="P43" s="55">
        <f t="shared" si="11"/>
        <v>0</v>
      </c>
      <c r="Q43" s="55">
        <f t="shared" si="11"/>
        <v>0</v>
      </c>
      <c r="R43" s="55">
        <f t="shared" si="11"/>
        <v>0</v>
      </c>
      <c r="S43" s="55">
        <f t="shared" si="11"/>
        <v>0</v>
      </c>
      <c r="T43" s="55">
        <f t="shared" si="11"/>
        <v>0</v>
      </c>
    </row>
    <row r="44" spans="1:20" s="93" customFormat="1" ht="13.5" customHeight="1">
      <c r="A44" s="556"/>
      <c r="B44" s="492"/>
      <c r="C44" s="143" t="s">
        <v>703</v>
      </c>
      <c r="D44" s="10">
        <v>17</v>
      </c>
      <c r="E44" s="10">
        <v>17</v>
      </c>
      <c r="F44" s="10">
        <v>0</v>
      </c>
      <c r="G44" s="10">
        <v>28</v>
      </c>
      <c r="H44" s="10">
        <v>0</v>
      </c>
      <c r="I44" s="10">
        <v>1</v>
      </c>
      <c r="J44" s="10">
        <v>10</v>
      </c>
      <c r="K44" s="10">
        <v>5</v>
      </c>
      <c r="L44" s="10">
        <v>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s="93" customFormat="1" ht="13.5" customHeight="1">
      <c r="A45" s="538"/>
      <c r="B45" s="493"/>
      <c r="C45" s="144" t="s">
        <v>704</v>
      </c>
      <c r="D45" s="10">
        <v>10</v>
      </c>
      <c r="E45" s="10">
        <v>10</v>
      </c>
      <c r="F45" s="10">
        <v>0</v>
      </c>
      <c r="G45" s="10">
        <v>29</v>
      </c>
      <c r="H45" s="10">
        <v>0</v>
      </c>
      <c r="I45" s="10">
        <v>1</v>
      </c>
      <c r="J45" s="10">
        <v>5</v>
      </c>
      <c r="K45" s="10">
        <v>3</v>
      </c>
      <c r="L45" s="10">
        <v>1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s="93" customFormat="1" ht="13.5" customHeight="1">
      <c r="A46" s="538"/>
      <c r="B46" s="507" t="s">
        <v>521</v>
      </c>
      <c r="C46" s="141" t="s">
        <v>702</v>
      </c>
      <c r="D46" s="55">
        <f>SUM(D47:D48)</f>
        <v>23</v>
      </c>
      <c r="E46" s="55">
        <f aca="true" t="shared" si="12" ref="E46:T46">SUM(E47:E48)</f>
        <v>23</v>
      </c>
      <c r="F46" s="55">
        <f t="shared" si="12"/>
        <v>0</v>
      </c>
      <c r="G46" s="55">
        <v>28</v>
      </c>
      <c r="H46" s="55">
        <f t="shared" si="12"/>
        <v>0</v>
      </c>
      <c r="I46" s="55">
        <f t="shared" si="12"/>
        <v>2</v>
      </c>
      <c r="J46" s="55">
        <f t="shared" si="12"/>
        <v>11</v>
      </c>
      <c r="K46" s="55">
        <f t="shared" si="12"/>
        <v>10</v>
      </c>
      <c r="L46" s="55">
        <f t="shared" si="12"/>
        <v>0</v>
      </c>
      <c r="M46" s="55">
        <f t="shared" si="12"/>
        <v>0</v>
      </c>
      <c r="N46" s="55">
        <f t="shared" si="12"/>
        <v>0</v>
      </c>
      <c r="O46" s="55">
        <f t="shared" si="12"/>
        <v>0</v>
      </c>
      <c r="P46" s="55">
        <f t="shared" si="12"/>
        <v>0</v>
      </c>
      <c r="Q46" s="55">
        <f t="shared" si="12"/>
        <v>0</v>
      </c>
      <c r="R46" s="55">
        <f t="shared" si="12"/>
        <v>23</v>
      </c>
      <c r="S46" s="55">
        <f t="shared" si="12"/>
        <v>0</v>
      </c>
      <c r="T46" s="55">
        <f t="shared" si="12"/>
        <v>0</v>
      </c>
    </row>
    <row r="47" spans="1:20" s="93" customFormat="1" ht="13.5" customHeight="1">
      <c r="A47" s="538"/>
      <c r="B47" s="516"/>
      <c r="C47" s="143" t="s">
        <v>703</v>
      </c>
      <c r="D47" s="10">
        <v>10</v>
      </c>
      <c r="E47" s="10">
        <v>10</v>
      </c>
      <c r="F47" s="10">
        <v>0</v>
      </c>
      <c r="G47" s="10">
        <v>29</v>
      </c>
      <c r="H47" s="10">
        <v>0</v>
      </c>
      <c r="I47" s="10">
        <v>1</v>
      </c>
      <c r="J47" s="10">
        <v>4</v>
      </c>
      <c r="K47" s="10">
        <v>5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10</v>
      </c>
      <c r="S47" s="10">
        <v>0</v>
      </c>
      <c r="T47" s="10">
        <v>0</v>
      </c>
    </row>
    <row r="48" spans="1:20" s="93" customFormat="1" ht="13.5" customHeight="1">
      <c r="A48" s="538"/>
      <c r="B48" s="517"/>
      <c r="C48" s="143" t="s">
        <v>704</v>
      </c>
      <c r="D48" s="10">
        <v>13</v>
      </c>
      <c r="E48" s="10">
        <v>13</v>
      </c>
      <c r="F48" s="10">
        <v>0</v>
      </c>
      <c r="G48" s="10">
        <v>28</v>
      </c>
      <c r="H48" s="10">
        <v>0</v>
      </c>
      <c r="I48" s="10">
        <v>1</v>
      </c>
      <c r="J48" s="10">
        <v>7</v>
      </c>
      <c r="K48" s="10">
        <v>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13</v>
      </c>
      <c r="S48" s="10">
        <v>0</v>
      </c>
      <c r="T48" s="10">
        <v>0</v>
      </c>
    </row>
    <row r="52" spans="1:20" ht="15.75">
      <c r="A52" s="63"/>
      <c r="B52" s="63"/>
      <c r="C52" s="63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ht="15.75">
      <c r="A53" s="63"/>
      <c r="B53" s="63"/>
      <c r="C53" s="63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ht="15.75">
      <c r="A54" s="63"/>
      <c r="B54" s="63"/>
      <c r="C54" s="63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ht="15.75">
      <c r="A55" s="535" t="str">
        <f>"- "&amp;Sheet1!J33&amp;" -"</f>
        <v>- 202 -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"&amp;Sheet1!K33&amp;" -"</f>
        <v>- 203 -</v>
      </c>
      <c r="L55" s="535"/>
      <c r="M55" s="535"/>
      <c r="N55" s="535"/>
      <c r="O55" s="535"/>
      <c r="P55" s="535"/>
      <c r="Q55" s="535"/>
      <c r="R55" s="535"/>
      <c r="S55" s="535"/>
      <c r="T55" s="535"/>
    </row>
    <row r="56" spans="1:20" ht="15.75">
      <c r="A56" s="63"/>
      <c r="B56" s="63"/>
      <c r="C56" s="63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</sheetData>
  <sheetProtection/>
  <mergeCells count="32">
    <mergeCell ref="K55:T55"/>
    <mergeCell ref="B31:B33"/>
    <mergeCell ref="B34:B36"/>
    <mergeCell ref="B37:B39"/>
    <mergeCell ref="B40:B42"/>
    <mergeCell ref="B43:B45"/>
    <mergeCell ref="B46:B48"/>
    <mergeCell ref="B22:B24"/>
    <mergeCell ref="B25:B27"/>
    <mergeCell ref="B28:B30"/>
    <mergeCell ref="A55:J55"/>
    <mergeCell ref="A22:A36"/>
    <mergeCell ref="A37:A42"/>
    <mergeCell ref="A43:A48"/>
    <mergeCell ref="A1:J1"/>
    <mergeCell ref="K1:T1"/>
    <mergeCell ref="Q5:T5"/>
    <mergeCell ref="E5:E6"/>
    <mergeCell ref="F5:F6"/>
    <mergeCell ref="D5:D6"/>
    <mergeCell ref="C3:H3"/>
    <mergeCell ref="L3:S3"/>
    <mergeCell ref="H5:J5"/>
    <mergeCell ref="K5:P5"/>
    <mergeCell ref="B13:B15"/>
    <mergeCell ref="B16:B18"/>
    <mergeCell ref="G5:G6"/>
    <mergeCell ref="A5:C6"/>
    <mergeCell ref="B7:B9"/>
    <mergeCell ref="B10:B12"/>
    <mergeCell ref="A7:A21"/>
    <mergeCell ref="B19:B21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S56"/>
  <sheetViews>
    <sheetView view="pageLayout" zoomScaleNormal="85" zoomScaleSheetLayoutView="85" workbookViewId="0" topLeftCell="A37">
      <selection activeCell="A56" sqref="A56:J56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625" style="89" customWidth="1"/>
    <col min="18" max="18" width="9.875" style="89" customWidth="1"/>
    <col min="19" max="19" width="9.75390625" style="89" customWidth="1"/>
    <col min="20" max="20" width="10.625" style="89" customWidth="1"/>
    <col min="21" max="16384" width="9.00390625" style="89" customWidth="1"/>
  </cols>
  <sheetData>
    <row r="1" spans="1:20" s="96" customFormat="1" ht="21.75" customHeight="1">
      <c r="A1" s="539" t="s">
        <v>551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215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3"/>
      <c r="J3" s="4" t="s">
        <v>698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695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713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19" t="s">
        <v>711</v>
      </c>
    </row>
    <row r="7" spans="1:45" s="93" customFormat="1" ht="13.5" customHeight="1">
      <c r="A7" s="541" t="s">
        <v>549</v>
      </c>
      <c r="B7" s="507" t="s">
        <v>522</v>
      </c>
      <c r="C7" s="234" t="s">
        <v>702</v>
      </c>
      <c r="D7" s="54">
        <f>SUM(D8:D9)</f>
        <v>27</v>
      </c>
      <c r="E7" s="56">
        <f aca="true" t="shared" si="0" ref="E7:T7">SUM(E8:E9)</f>
        <v>27</v>
      </c>
      <c r="F7" s="56">
        <f t="shared" si="0"/>
        <v>0</v>
      </c>
      <c r="G7" s="56">
        <f>SUM(G8:G9)/2</f>
        <v>28</v>
      </c>
      <c r="H7" s="56">
        <f t="shared" si="0"/>
        <v>0</v>
      </c>
      <c r="I7" s="56">
        <f t="shared" si="0"/>
        <v>2</v>
      </c>
      <c r="J7" s="56">
        <f t="shared" si="0"/>
        <v>16</v>
      </c>
      <c r="K7" s="56">
        <f t="shared" si="0"/>
        <v>7</v>
      </c>
      <c r="L7" s="56">
        <f t="shared" si="0"/>
        <v>2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27</v>
      </c>
      <c r="S7" s="56">
        <f t="shared" si="0"/>
        <v>0</v>
      </c>
      <c r="T7" s="56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516"/>
      <c r="C8" s="124" t="s">
        <v>703</v>
      </c>
      <c r="D8" s="24">
        <v>14</v>
      </c>
      <c r="E8" s="10">
        <v>14</v>
      </c>
      <c r="F8" s="10">
        <v>0</v>
      </c>
      <c r="G8" s="10">
        <v>29</v>
      </c>
      <c r="H8" s="10">
        <v>0</v>
      </c>
      <c r="I8" s="10">
        <v>0</v>
      </c>
      <c r="J8" s="10">
        <v>9</v>
      </c>
      <c r="K8" s="10">
        <v>3</v>
      </c>
      <c r="L8" s="10">
        <v>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14</v>
      </c>
      <c r="S8" s="10">
        <v>0</v>
      </c>
      <c r="T8" s="10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517"/>
      <c r="C9" s="235" t="s">
        <v>704</v>
      </c>
      <c r="D9" s="24">
        <v>13</v>
      </c>
      <c r="E9" s="10">
        <v>13</v>
      </c>
      <c r="F9" s="10">
        <v>0</v>
      </c>
      <c r="G9" s="10">
        <v>27</v>
      </c>
      <c r="H9" s="10">
        <v>0</v>
      </c>
      <c r="I9" s="10">
        <v>2</v>
      </c>
      <c r="J9" s="10">
        <v>7</v>
      </c>
      <c r="K9" s="10">
        <v>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13</v>
      </c>
      <c r="S9" s="10">
        <v>0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542"/>
      <c r="B10" s="491" t="s">
        <v>532</v>
      </c>
      <c r="C10" s="234" t="s">
        <v>702</v>
      </c>
      <c r="D10" s="54">
        <f>SUM(D11:D12)</f>
        <v>33</v>
      </c>
      <c r="E10" s="55">
        <f aca="true" t="shared" si="1" ref="E10:T10">SUM(E11:E12)</f>
        <v>33</v>
      </c>
      <c r="F10" s="55">
        <f t="shared" si="1"/>
        <v>0</v>
      </c>
      <c r="G10" s="55">
        <v>29</v>
      </c>
      <c r="H10" s="55">
        <f t="shared" si="1"/>
        <v>0</v>
      </c>
      <c r="I10" s="55">
        <f t="shared" si="1"/>
        <v>0</v>
      </c>
      <c r="J10" s="55">
        <f t="shared" si="1"/>
        <v>19</v>
      </c>
      <c r="K10" s="55">
        <f t="shared" si="1"/>
        <v>12</v>
      </c>
      <c r="L10" s="55">
        <f t="shared" si="1"/>
        <v>2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13</v>
      </c>
      <c r="R10" s="55">
        <f t="shared" si="1"/>
        <v>20</v>
      </c>
      <c r="S10" s="55">
        <f t="shared" si="1"/>
        <v>0</v>
      </c>
      <c r="T10" s="55">
        <f t="shared" si="1"/>
        <v>0</v>
      </c>
    </row>
    <row r="11" spans="1:20" s="93" customFormat="1" ht="13.5" customHeight="1">
      <c r="A11" s="542"/>
      <c r="B11" s="492"/>
      <c r="C11" s="124" t="s">
        <v>703</v>
      </c>
      <c r="D11" s="64">
        <v>22</v>
      </c>
      <c r="E11" s="49">
        <v>22</v>
      </c>
      <c r="F11" s="58">
        <v>0</v>
      </c>
      <c r="G11" s="49">
        <v>28</v>
      </c>
      <c r="H11" s="49">
        <v>0</v>
      </c>
      <c r="I11" s="49">
        <v>0</v>
      </c>
      <c r="J11" s="59">
        <v>15</v>
      </c>
      <c r="K11" s="58">
        <v>7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7</v>
      </c>
      <c r="R11" s="58">
        <v>15</v>
      </c>
      <c r="S11" s="58">
        <v>0</v>
      </c>
      <c r="T11" s="58">
        <v>0</v>
      </c>
    </row>
    <row r="12" spans="1:20" s="93" customFormat="1" ht="13.5" customHeight="1">
      <c r="A12" s="542"/>
      <c r="B12" s="493"/>
      <c r="C12" s="235" t="s">
        <v>704</v>
      </c>
      <c r="D12" s="64">
        <v>11</v>
      </c>
      <c r="E12" s="49">
        <v>11</v>
      </c>
      <c r="F12" s="58">
        <v>0</v>
      </c>
      <c r="G12" s="49">
        <v>30</v>
      </c>
      <c r="H12" s="49">
        <v>0</v>
      </c>
      <c r="I12" s="49">
        <v>0</v>
      </c>
      <c r="J12" s="59">
        <v>4</v>
      </c>
      <c r="K12" s="58">
        <v>5</v>
      </c>
      <c r="L12" s="58">
        <v>2</v>
      </c>
      <c r="M12" s="58">
        <v>0</v>
      </c>
      <c r="N12" s="58">
        <v>0</v>
      </c>
      <c r="O12" s="58">
        <v>0</v>
      </c>
      <c r="P12" s="58">
        <v>0</v>
      </c>
      <c r="Q12" s="58">
        <v>6</v>
      </c>
      <c r="R12" s="58">
        <v>5</v>
      </c>
      <c r="S12" s="58">
        <v>0</v>
      </c>
      <c r="T12" s="58">
        <v>0</v>
      </c>
    </row>
    <row r="13" spans="1:20" s="93" customFormat="1" ht="13.5" customHeight="1">
      <c r="A13" s="542"/>
      <c r="B13" s="491" t="s">
        <v>533</v>
      </c>
      <c r="C13" s="234" t="s">
        <v>702</v>
      </c>
      <c r="D13" s="54">
        <f>SUM(D14:D15)</f>
        <v>34</v>
      </c>
      <c r="E13" s="55">
        <f aca="true" t="shared" si="2" ref="E13:T13">SUM(E14:E15)</f>
        <v>34</v>
      </c>
      <c r="F13" s="55">
        <f t="shared" si="2"/>
        <v>0</v>
      </c>
      <c r="G13" s="55">
        <v>28</v>
      </c>
      <c r="H13" s="55">
        <f t="shared" si="2"/>
        <v>0</v>
      </c>
      <c r="I13" s="55">
        <f t="shared" si="2"/>
        <v>1</v>
      </c>
      <c r="J13" s="55">
        <f t="shared" si="2"/>
        <v>21</v>
      </c>
      <c r="K13" s="55">
        <f t="shared" si="2"/>
        <v>12</v>
      </c>
      <c r="L13" s="55">
        <f t="shared" si="2"/>
        <v>0</v>
      </c>
      <c r="M13" s="55">
        <f t="shared" si="2"/>
        <v>0</v>
      </c>
      <c r="N13" s="55">
        <f t="shared" si="2"/>
        <v>0</v>
      </c>
      <c r="O13" s="55">
        <f t="shared" si="2"/>
        <v>0</v>
      </c>
      <c r="P13" s="55">
        <f t="shared" si="2"/>
        <v>0</v>
      </c>
      <c r="Q13" s="55">
        <f t="shared" si="2"/>
        <v>4</v>
      </c>
      <c r="R13" s="55">
        <f t="shared" si="2"/>
        <v>30</v>
      </c>
      <c r="S13" s="55">
        <f t="shared" si="2"/>
        <v>0</v>
      </c>
      <c r="T13" s="55">
        <f t="shared" si="2"/>
        <v>0</v>
      </c>
    </row>
    <row r="14" spans="1:20" s="93" customFormat="1" ht="13.5" customHeight="1">
      <c r="A14" s="542"/>
      <c r="B14" s="492"/>
      <c r="C14" s="124" t="s">
        <v>703</v>
      </c>
      <c r="D14" s="64">
        <v>12</v>
      </c>
      <c r="E14" s="49">
        <v>12</v>
      </c>
      <c r="F14" s="58">
        <v>0</v>
      </c>
      <c r="G14" s="49">
        <v>30</v>
      </c>
      <c r="H14" s="49">
        <v>0</v>
      </c>
      <c r="I14" s="49">
        <v>0</v>
      </c>
      <c r="J14" s="59">
        <v>5</v>
      </c>
      <c r="K14" s="58">
        <v>7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2</v>
      </c>
      <c r="R14" s="58">
        <v>10</v>
      </c>
      <c r="S14" s="58">
        <v>0</v>
      </c>
      <c r="T14" s="62">
        <v>0</v>
      </c>
    </row>
    <row r="15" spans="1:20" s="93" customFormat="1" ht="13.5" customHeight="1">
      <c r="A15" s="542"/>
      <c r="B15" s="493"/>
      <c r="C15" s="235" t="s">
        <v>704</v>
      </c>
      <c r="D15" s="64">
        <v>22</v>
      </c>
      <c r="E15" s="49">
        <v>22</v>
      </c>
      <c r="F15" s="58">
        <v>0</v>
      </c>
      <c r="G15" s="49">
        <v>27</v>
      </c>
      <c r="H15" s="49">
        <v>0</v>
      </c>
      <c r="I15" s="49">
        <v>1</v>
      </c>
      <c r="J15" s="59">
        <v>16</v>
      </c>
      <c r="K15" s="58">
        <v>5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2</v>
      </c>
      <c r="R15" s="58">
        <v>20</v>
      </c>
      <c r="S15" s="58">
        <v>0</v>
      </c>
      <c r="T15" s="62">
        <v>0</v>
      </c>
    </row>
    <row r="16" spans="1:20" s="93" customFormat="1" ht="13.5" customHeight="1">
      <c r="A16" s="538" t="s">
        <v>550</v>
      </c>
      <c r="B16" s="491" t="s">
        <v>534</v>
      </c>
      <c r="C16" s="234" t="s">
        <v>702</v>
      </c>
      <c r="D16" s="54">
        <f>SUM(D17:D18)</f>
        <v>49</v>
      </c>
      <c r="E16" s="55">
        <f aca="true" t="shared" si="3" ref="E16:T16">SUM(E17:E18)</f>
        <v>49</v>
      </c>
      <c r="F16" s="55">
        <f t="shared" si="3"/>
        <v>0</v>
      </c>
      <c r="G16" s="55">
        <f>SUM(G17:G18)/2</f>
        <v>29</v>
      </c>
      <c r="H16" s="55">
        <f t="shared" si="3"/>
        <v>0</v>
      </c>
      <c r="I16" s="55">
        <f t="shared" si="3"/>
        <v>4</v>
      </c>
      <c r="J16" s="55">
        <f t="shared" si="3"/>
        <v>24</v>
      </c>
      <c r="K16" s="55">
        <f t="shared" si="3"/>
        <v>18</v>
      </c>
      <c r="L16" s="55">
        <f t="shared" si="3"/>
        <v>2</v>
      </c>
      <c r="M16" s="55">
        <f t="shared" si="3"/>
        <v>1</v>
      </c>
      <c r="N16" s="55">
        <f t="shared" si="3"/>
        <v>0</v>
      </c>
      <c r="O16" s="55">
        <f t="shared" si="3"/>
        <v>0</v>
      </c>
      <c r="P16" s="55">
        <f t="shared" si="3"/>
        <v>0</v>
      </c>
      <c r="Q16" s="55">
        <f t="shared" si="3"/>
        <v>11</v>
      </c>
      <c r="R16" s="55">
        <f t="shared" si="3"/>
        <v>38</v>
      </c>
      <c r="S16" s="55">
        <f t="shared" si="3"/>
        <v>0</v>
      </c>
      <c r="T16" s="55">
        <f t="shared" si="3"/>
        <v>0</v>
      </c>
    </row>
    <row r="17" spans="1:20" s="93" customFormat="1" ht="13.5" customHeight="1">
      <c r="A17" s="538"/>
      <c r="B17" s="492"/>
      <c r="C17" s="124" t="s">
        <v>703</v>
      </c>
      <c r="D17" s="64">
        <v>23</v>
      </c>
      <c r="E17" s="49">
        <v>23</v>
      </c>
      <c r="F17" s="49">
        <v>0</v>
      </c>
      <c r="G17" s="49">
        <v>30</v>
      </c>
      <c r="H17" s="49">
        <v>0</v>
      </c>
      <c r="I17" s="49">
        <v>0</v>
      </c>
      <c r="J17" s="49">
        <v>13</v>
      </c>
      <c r="K17" s="49">
        <v>8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8</v>
      </c>
      <c r="R17" s="49">
        <v>15</v>
      </c>
      <c r="S17" s="49">
        <v>0</v>
      </c>
      <c r="T17" s="49">
        <v>0</v>
      </c>
    </row>
    <row r="18" spans="1:20" s="93" customFormat="1" ht="13.5" customHeight="1">
      <c r="A18" s="538"/>
      <c r="B18" s="492"/>
      <c r="C18" s="235" t="s">
        <v>704</v>
      </c>
      <c r="D18" s="64">
        <v>26</v>
      </c>
      <c r="E18" s="49">
        <v>26</v>
      </c>
      <c r="F18" s="49">
        <v>0</v>
      </c>
      <c r="G18" s="49">
        <v>28</v>
      </c>
      <c r="H18" s="49">
        <v>0</v>
      </c>
      <c r="I18" s="49">
        <v>4</v>
      </c>
      <c r="J18" s="49">
        <v>11</v>
      </c>
      <c r="K18" s="49">
        <v>10</v>
      </c>
      <c r="L18" s="49">
        <v>0</v>
      </c>
      <c r="M18" s="49">
        <v>1</v>
      </c>
      <c r="N18" s="49">
        <v>0</v>
      </c>
      <c r="O18" s="49">
        <v>0</v>
      </c>
      <c r="P18" s="49">
        <v>0</v>
      </c>
      <c r="Q18" s="49">
        <v>3</v>
      </c>
      <c r="R18" s="49">
        <v>23</v>
      </c>
      <c r="S18" s="49">
        <v>0</v>
      </c>
      <c r="T18" s="49">
        <v>0</v>
      </c>
    </row>
    <row r="19" spans="1:20" s="93" customFormat="1" ht="13.5" customHeight="1">
      <c r="A19" s="538"/>
      <c r="B19" s="491" t="s">
        <v>535</v>
      </c>
      <c r="C19" s="234" t="s">
        <v>702</v>
      </c>
      <c r="D19" s="54">
        <f>SUM(D20:D21)</f>
        <v>37</v>
      </c>
      <c r="E19" s="55">
        <f aca="true" t="shared" si="4" ref="E19:T19">SUM(E20:E21)</f>
        <v>37</v>
      </c>
      <c r="F19" s="55">
        <f t="shared" si="4"/>
        <v>0</v>
      </c>
      <c r="G19" s="55">
        <v>29</v>
      </c>
      <c r="H19" s="55">
        <f t="shared" si="4"/>
        <v>0</v>
      </c>
      <c r="I19" s="55">
        <f t="shared" si="4"/>
        <v>1</v>
      </c>
      <c r="J19" s="55">
        <f t="shared" si="4"/>
        <v>21</v>
      </c>
      <c r="K19" s="55">
        <f t="shared" si="4"/>
        <v>13</v>
      </c>
      <c r="L19" s="55">
        <f t="shared" si="4"/>
        <v>0</v>
      </c>
      <c r="M19" s="55">
        <f t="shared" si="4"/>
        <v>2</v>
      </c>
      <c r="N19" s="55">
        <f t="shared" si="4"/>
        <v>0</v>
      </c>
      <c r="O19" s="55">
        <f t="shared" si="4"/>
        <v>0</v>
      </c>
      <c r="P19" s="55">
        <f t="shared" si="4"/>
        <v>0</v>
      </c>
      <c r="Q19" s="55">
        <f t="shared" si="4"/>
        <v>7</v>
      </c>
      <c r="R19" s="55">
        <f t="shared" si="4"/>
        <v>28</v>
      </c>
      <c r="S19" s="55">
        <f t="shared" si="4"/>
        <v>2</v>
      </c>
      <c r="T19" s="55">
        <f t="shared" si="4"/>
        <v>0</v>
      </c>
    </row>
    <row r="20" spans="1:20" s="93" customFormat="1" ht="13.5" customHeight="1">
      <c r="A20" s="538"/>
      <c r="B20" s="492"/>
      <c r="C20" s="124" t="s">
        <v>703</v>
      </c>
      <c r="D20" s="64">
        <v>15</v>
      </c>
      <c r="E20" s="49">
        <v>15</v>
      </c>
      <c r="F20" s="58">
        <v>0</v>
      </c>
      <c r="G20" s="49">
        <v>30</v>
      </c>
      <c r="H20" s="49">
        <v>0</v>
      </c>
      <c r="I20" s="49">
        <v>0</v>
      </c>
      <c r="J20" s="59">
        <v>9</v>
      </c>
      <c r="K20" s="58">
        <v>4</v>
      </c>
      <c r="L20" s="58">
        <v>0</v>
      </c>
      <c r="M20" s="58">
        <v>2</v>
      </c>
      <c r="N20" s="58">
        <v>0</v>
      </c>
      <c r="O20" s="58">
        <v>0</v>
      </c>
      <c r="P20" s="58">
        <v>0</v>
      </c>
      <c r="Q20" s="58">
        <v>2</v>
      </c>
      <c r="R20" s="58">
        <v>12</v>
      </c>
      <c r="S20" s="58">
        <v>1</v>
      </c>
      <c r="T20" s="58">
        <v>0</v>
      </c>
    </row>
    <row r="21" spans="1:20" s="93" customFormat="1" ht="13.5" customHeight="1">
      <c r="A21" s="538"/>
      <c r="B21" s="492"/>
      <c r="C21" s="235" t="s">
        <v>704</v>
      </c>
      <c r="D21" s="64">
        <v>22</v>
      </c>
      <c r="E21" s="49">
        <v>22</v>
      </c>
      <c r="F21" s="58">
        <v>0</v>
      </c>
      <c r="G21" s="49">
        <v>29</v>
      </c>
      <c r="H21" s="49">
        <v>0</v>
      </c>
      <c r="I21" s="49">
        <v>1</v>
      </c>
      <c r="J21" s="59">
        <v>12</v>
      </c>
      <c r="K21" s="58">
        <v>9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5</v>
      </c>
      <c r="R21" s="58">
        <v>16</v>
      </c>
      <c r="S21" s="58">
        <v>1</v>
      </c>
      <c r="T21" s="58">
        <v>0</v>
      </c>
    </row>
    <row r="22" spans="1:20" s="93" customFormat="1" ht="13.5" customHeight="1">
      <c r="A22" s="538"/>
      <c r="B22" s="491" t="s">
        <v>537</v>
      </c>
      <c r="C22" s="234" t="s">
        <v>702</v>
      </c>
      <c r="D22" s="54">
        <f>SUM(D23:D24)</f>
        <v>35</v>
      </c>
      <c r="E22" s="55">
        <f aca="true" t="shared" si="5" ref="E22:T22">SUM(E23:E24)</f>
        <v>35</v>
      </c>
      <c r="F22" s="55">
        <f t="shared" si="5"/>
        <v>0</v>
      </c>
      <c r="G22" s="55">
        <f>SUM(G23:G24)/2</f>
        <v>29</v>
      </c>
      <c r="H22" s="55">
        <f t="shared" si="5"/>
        <v>0</v>
      </c>
      <c r="I22" s="55">
        <f t="shared" si="5"/>
        <v>0</v>
      </c>
      <c r="J22" s="55">
        <f t="shared" si="5"/>
        <v>22</v>
      </c>
      <c r="K22" s="55">
        <f t="shared" si="5"/>
        <v>9</v>
      </c>
      <c r="L22" s="55">
        <f t="shared" si="5"/>
        <v>4</v>
      </c>
      <c r="M22" s="55">
        <f t="shared" si="5"/>
        <v>0</v>
      </c>
      <c r="N22" s="55">
        <f t="shared" si="5"/>
        <v>0</v>
      </c>
      <c r="O22" s="55">
        <f t="shared" si="5"/>
        <v>0</v>
      </c>
      <c r="P22" s="55">
        <f t="shared" si="5"/>
        <v>0</v>
      </c>
      <c r="Q22" s="55">
        <f t="shared" si="5"/>
        <v>13</v>
      </c>
      <c r="R22" s="55">
        <f t="shared" si="5"/>
        <v>22</v>
      </c>
      <c r="S22" s="55">
        <f t="shared" si="5"/>
        <v>0</v>
      </c>
      <c r="T22" s="55">
        <f t="shared" si="5"/>
        <v>0</v>
      </c>
    </row>
    <row r="23" spans="1:20" s="93" customFormat="1" ht="13.5" customHeight="1">
      <c r="A23" s="538"/>
      <c r="B23" s="492"/>
      <c r="C23" s="124" t="s">
        <v>703</v>
      </c>
      <c r="D23" s="64">
        <v>14</v>
      </c>
      <c r="E23" s="49">
        <v>14</v>
      </c>
      <c r="F23" s="58">
        <v>0</v>
      </c>
      <c r="G23" s="49">
        <v>30</v>
      </c>
      <c r="H23" s="49">
        <v>0</v>
      </c>
      <c r="I23" s="49">
        <v>0</v>
      </c>
      <c r="J23" s="59">
        <v>7</v>
      </c>
      <c r="K23" s="58">
        <v>4</v>
      </c>
      <c r="L23" s="58">
        <v>3</v>
      </c>
      <c r="M23" s="58">
        <v>0</v>
      </c>
      <c r="N23" s="58">
        <v>0</v>
      </c>
      <c r="O23" s="58">
        <v>0</v>
      </c>
      <c r="P23" s="58">
        <v>0</v>
      </c>
      <c r="Q23" s="58">
        <v>5</v>
      </c>
      <c r="R23" s="58">
        <v>9</v>
      </c>
      <c r="S23" s="58">
        <v>0</v>
      </c>
      <c r="T23" s="58">
        <v>0</v>
      </c>
    </row>
    <row r="24" spans="1:20" s="93" customFormat="1" ht="13.5" customHeight="1">
      <c r="A24" s="538"/>
      <c r="B24" s="492"/>
      <c r="C24" s="235" t="s">
        <v>704</v>
      </c>
      <c r="D24" s="64">
        <v>21</v>
      </c>
      <c r="E24" s="49">
        <v>21</v>
      </c>
      <c r="F24" s="58">
        <v>0</v>
      </c>
      <c r="G24" s="49">
        <v>28</v>
      </c>
      <c r="H24" s="49">
        <v>0</v>
      </c>
      <c r="I24" s="49">
        <v>0</v>
      </c>
      <c r="J24" s="59">
        <v>15</v>
      </c>
      <c r="K24" s="58">
        <v>5</v>
      </c>
      <c r="L24" s="58">
        <v>1</v>
      </c>
      <c r="M24" s="58">
        <v>0</v>
      </c>
      <c r="N24" s="58">
        <v>0</v>
      </c>
      <c r="O24" s="58">
        <v>0</v>
      </c>
      <c r="P24" s="58">
        <v>0</v>
      </c>
      <c r="Q24" s="58">
        <v>8</v>
      </c>
      <c r="R24" s="58">
        <v>13</v>
      </c>
      <c r="S24" s="58">
        <v>0</v>
      </c>
      <c r="T24" s="58">
        <v>0</v>
      </c>
    </row>
    <row r="25" spans="1:20" s="93" customFormat="1" ht="13.5" customHeight="1">
      <c r="A25" s="541" t="s">
        <v>552</v>
      </c>
      <c r="B25" s="559" t="s">
        <v>518</v>
      </c>
      <c r="C25" s="234" t="s">
        <v>702</v>
      </c>
      <c r="D25" s="140">
        <f>SUM(D28,D31,D34,D37,D40)</f>
        <v>202</v>
      </c>
      <c r="E25" s="56">
        <f>SUM(E28,E31,E34,E37,E40)</f>
        <v>202</v>
      </c>
      <c r="F25" s="56">
        <f>SUM(F28,F31,F34,F37,F40)</f>
        <v>0</v>
      </c>
      <c r="G25" s="56">
        <v>41</v>
      </c>
      <c r="H25" s="56">
        <f aca="true" t="shared" si="6" ref="H25:T25">SUM(H28,H31,H34,H37,H40)</f>
        <v>0</v>
      </c>
      <c r="I25" s="56">
        <f t="shared" si="6"/>
        <v>0</v>
      </c>
      <c r="J25" s="56">
        <f t="shared" si="6"/>
        <v>0</v>
      </c>
      <c r="K25" s="56">
        <f t="shared" si="6"/>
        <v>10</v>
      </c>
      <c r="L25" s="56">
        <f t="shared" si="6"/>
        <v>64</v>
      </c>
      <c r="M25" s="56">
        <f t="shared" si="6"/>
        <v>85</v>
      </c>
      <c r="N25" s="56">
        <f t="shared" si="6"/>
        <v>37</v>
      </c>
      <c r="O25" s="56">
        <f t="shared" si="6"/>
        <v>5</v>
      </c>
      <c r="P25" s="56">
        <f t="shared" si="6"/>
        <v>1</v>
      </c>
      <c r="Q25" s="56">
        <f t="shared" si="6"/>
        <v>12</v>
      </c>
      <c r="R25" s="56">
        <f t="shared" si="6"/>
        <v>153</v>
      </c>
      <c r="S25" s="56">
        <f t="shared" si="6"/>
        <v>3</v>
      </c>
      <c r="T25" s="56">
        <f t="shared" si="6"/>
        <v>0</v>
      </c>
    </row>
    <row r="26" spans="1:20" s="93" customFormat="1" ht="13.5" customHeight="1">
      <c r="A26" s="542"/>
      <c r="B26" s="514"/>
      <c r="C26" s="124" t="s">
        <v>703</v>
      </c>
      <c r="D26" s="24">
        <f aca="true" t="shared" si="7" ref="D26:S27">SUM(D29,D32,D35,D38,D41)</f>
        <v>199</v>
      </c>
      <c r="E26" s="10">
        <f t="shared" si="7"/>
        <v>199</v>
      </c>
      <c r="F26" s="10">
        <f t="shared" si="7"/>
        <v>0</v>
      </c>
      <c r="G26" s="10">
        <f>SUM(G29,G32,G35,G38,G41)/5</f>
        <v>40.8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8</v>
      </c>
      <c r="L26" s="10">
        <f t="shared" si="7"/>
        <v>64</v>
      </c>
      <c r="M26" s="10">
        <f t="shared" si="7"/>
        <v>84</v>
      </c>
      <c r="N26" s="10">
        <f t="shared" si="7"/>
        <v>37</v>
      </c>
      <c r="O26" s="10">
        <f t="shared" si="7"/>
        <v>5</v>
      </c>
      <c r="P26" s="10">
        <f t="shared" si="7"/>
        <v>1</v>
      </c>
      <c r="Q26" s="10">
        <f t="shared" si="7"/>
        <v>12</v>
      </c>
      <c r="R26" s="10">
        <f t="shared" si="7"/>
        <v>151</v>
      </c>
      <c r="S26" s="10">
        <f t="shared" si="7"/>
        <v>2</v>
      </c>
      <c r="T26" s="10">
        <f>SUM(T29,T32,T35,T38,T41)</f>
        <v>0</v>
      </c>
    </row>
    <row r="27" spans="1:20" s="93" customFormat="1" ht="13.5" customHeight="1">
      <c r="A27" s="542"/>
      <c r="B27" s="514"/>
      <c r="C27" s="235" t="s">
        <v>704</v>
      </c>
      <c r="D27" s="24">
        <f t="shared" si="7"/>
        <v>3</v>
      </c>
      <c r="E27" s="10">
        <f t="shared" si="7"/>
        <v>3</v>
      </c>
      <c r="F27" s="10">
        <f t="shared" si="7"/>
        <v>0</v>
      </c>
      <c r="G27" s="10">
        <v>39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2</v>
      </c>
      <c r="L27" s="10">
        <f t="shared" si="7"/>
        <v>0</v>
      </c>
      <c r="M27" s="10">
        <f t="shared" si="7"/>
        <v>1</v>
      </c>
      <c r="N27" s="10">
        <f t="shared" si="7"/>
        <v>0</v>
      </c>
      <c r="O27" s="10">
        <f t="shared" si="7"/>
        <v>0</v>
      </c>
      <c r="P27" s="10">
        <f t="shared" si="7"/>
        <v>0</v>
      </c>
      <c r="Q27" s="10">
        <f t="shared" si="7"/>
        <v>0</v>
      </c>
      <c r="R27" s="10">
        <f t="shared" si="7"/>
        <v>2</v>
      </c>
      <c r="S27" s="10">
        <f t="shared" si="7"/>
        <v>1</v>
      </c>
      <c r="T27" s="10">
        <f>SUM(T30,T33,T36,T39,T42)</f>
        <v>0</v>
      </c>
    </row>
    <row r="28" spans="1:20" s="93" customFormat="1" ht="13.5" customHeight="1">
      <c r="A28" s="542"/>
      <c r="B28" s="491" t="s">
        <v>519</v>
      </c>
      <c r="C28" s="234" t="s">
        <v>702</v>
      </c>
      <c r="D28" s="54">
        <f>SUM(D29:D30)</f>
        <v>34</v>
      </c>
      <c r="E28" s="55">
        <f aca="true" t="shared" si="8" ref="E28:T28">SUM(E29:E30)</f>
        <v>34</v>
      </c>
      <c r="F28" s="55">
        <f t="shared" si="8"/>
        <v>0</v>
      </c>
      <c r="G28" s="55">
        <f t="shared" si="8"/>
        <v>38</v>
      </c>
      <c r="H28" s="55">
        <f t="shared" si="8"/>
        <v>0</v>
      </c>
      <c r="I28" s="55">
        <f t="shared" si="8"/>
        <v>0</v>
      </c>
      <c r="J28" s="55">
        <f t="shared" si="8"/>
        <v>0</v>
      </c>
      <c r="K28" s="55">
        <f t="shared" si="8"/>
        <v>5</v>
      </c>
      <c r="L28" s="55">
        <f t="shared" si="8"/>
        <v>18</v>
      </c>
      <c r="M28" s="55">
        <f t="shared" si="8"/>
        <v>10</v>
      </c>
      <c r="N28" s="55">
        <f t="shared" si="8"/>
        <v>1</v>
      </c>
      <c r="O28" s="55">
        <f t="shared" si="8"/>
        <v>0</v>
      </c>
      <c r="P28" s="55">
        <f t="shared" si="8"/>
        <v>0</v>
      </c>
      <c r="Q28" s="55">
        <f t="shared" si="8"/>
        <v>0</v>
      </c>
      <c r="R28" s="55">
        <f t="shared" si="8"/>
        <v>0</v>
      </c>
      <c r="S28" s="55">
        <f t="shared" si="8"/>
        <v>0</v>
      </c>
      <c r="T28" s="55">
        <f t="shared" si="8"/>
        <v>0</v>
      </c>
    </row>
    <row r="29" spans="1:21" s="93" customFormat="1" ht="13.5" customHeight="1">
      <c r="A29" s="542"/>
      <c r="B29" s="492"/>
      <c r="C29" s="124" t="s">
        <v>703</v>
      </c>
      <c r="D29" s="64">
        <v>34</v>
      </c>
      <c r="E29" s="49">
        <v>34</v>
      </c>
      <c r="F29" s="58">
        <v>0</v>
      </c>
      <c r="G29" s="49">
        <v>38</v>
      </c>
      <c r="H29" s="49">
        <v>0</v>
      </c>
      <c r="I29" s="49">
        <v>0</v>
      </c>
      <c r="J29" s="59">
        <v>0</v>
      </c>
      <c r="K29" s="58">
        <v>5</v>
      </c>
      <c r="L29" s="58">
        <v>18</v>
      </c>
      <c r="M29" s="58">
        <v>10</v>
      </c>
      <c r="N29" s="58">
        <v>1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62">
        <v>0</v>
      </c>
      <c r="U29" s="94"/>
    </row>
    <row r="30" spans="1:21" s="93" customFormat="1" ht="13.5" customHeight="1">
      <c r="A30" s="542"/>
      <c r="B30" s="493"/>
      <c r="C30" s="235" t="s">
        <v>704</v>
      </c>
      <c r="D30" s="64">
        <v>0</v>
      </c>
      <c r="E30" s="49">
        <v>0</v>
      </c>
      <c r="F30" s="58">
        <v>0</v>
      </c>
      <c r="G30" s="49">
        <v>0</v>
      </c>
      <c r="H30" s="49">
        <v>0</v>
      </c>
      <c r="I30" s="49">
        <v>0</v>
      </c>
      <c r="J30" s="59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62">
        <v>0</v>
      </c>
      <c r="U30" s="94"/>
    </row>
    <row r="31" spans="1:20" s="93" customFormat="1" ht="13.5" customHeight="1">
      <c r="A31" s="542"/>
      <c r="B31" s="491" t="s">
        <v>522</v>
      </c>
      <c r="C31" s="234" t="s">
        <v>702</v>
      </c>
      <c r="D31" s="54">
        <f>SUM(D32:D33)</f>
        <v>19</v>
      </c>
      <c r="E31" s="55">
        <f aca="true" t="shared" si="9" ref="E31:T31">SUM(E32:E33)</f>
        <v>19</v>
      </c>
      <c r="F31" s="55">
        <f t="shared" si="9"/>
        <v>0</v>
      </c>
      <c r="G31" s="55">
        <f t="shared" si="9"/>
        <v>39</v>
      </c>
      <c r="H31" s="55">
        <f t="shared" si="9"/>
        <v>0</v>
      </c>
      <c r="I31" s="55">
        <f t="shared" si="9"/>
        <v>0</v>
      </c>
      <c r="J31" s="55">
        <f t="shared" si="9"/>
        <v>0</v>
      </c>
      <c r="K31" s="55">
        <f t="shared" si="9"/>
        <v>0</v>
      </c>
      <c r="L31" s="55">
        <f t="shared" si="9"/>
        <v>11</v>
      </c>
      <c r="M31" s="55">
        <f t="shared" si="9"/>
        <v>8</v>
      </c>
      <c r="N31" s="55">
        <f t="shared" si="9"/>
        <v>0</v>
      </c>
      <c r="O31" s="55">
        <f t="shared" si="9"/>
        <v>0</v>
      </c>
      <c r="P31" s="55">
        <f t="shared" si="9"/>
        <v>0</v>
      </c>
      <c r="Q31" s="55">
        <f t="shared" si="9"/>
        <v>0</v>
      </c>
      <c r="R31" s="55">
        <f t="shared" si="9"/>
        <v>19</v>
      </c>
      <c r="S31" s="55">
        <f t="shared" si="9"/>
        <v>0</v>
      </c>
      <c r="T31" s="55">
        <f t="shared" si="9"/>
        <v>0</v>
      </c>
    </row>
    <row r="32" spans="1:21" s="93" customFormat="1" ht="13.5" customHeight="1">
      <c r="A32" s="542"/>
      <c r="B32" s="492"/>
      <c r="C32" s="124" t="s">
        <v>703</v>
      </c>
      <c r="D32" s="64">
        <v>19</v>
      </c>
      <c r="E32" s="49">
        <v>19</v>
      </c>
      <c r="F32" s="49">
        <v>0</v>
      </c>
      <c r="G32" s="49">
        <v>39</v>
      </c>
      <c r="H32" s="49">
        <v>0</v>
      </c>
      <c r="I32" s="49">
        <v>0</v>
      </c>
      <c r="J32" s="49">
        <v>0</v>
      </c>
      <c r="K32" s="49">
        <v>0</v>
      </c>
      <c r="L32" s="49">
        <v>11</v>
      </c>
      <c r="M32" s="49">
        <v>8</v>
      </c>
      <c r="N32" s="49">
        <v>0</v>
      </c>
      <c r="O32" s="49">
        <v>0</v>
      </c>
      <c r="P32" s="49">
        <v>0</v>
      </c>
      <c r="Q32" s="49">
        <v>0</v>
      </c>
      <c r="R32" s="49">
        <v>19</v>
      </c>
      <c r="S32" s="49">
        <v>0</v>
      </c>
      <c r="T32" s="49">
        <v>0</v>
      </c>
      <c r="U32" s="94"/>
    </row>
    <row r="33" spans="1:21" s="93" customFormat="1" ht="13.5" customHeight="1">
      <c r="A33" s="542"/>
      <c r="B33" s="493"/>
      <c r="C33" s="235" t="s">
        <v>704</v>
      </c>
      <c r="D33" s="64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94"/>
    </row>
    <row r="34" spans="1:20" s="85" customFormat="1" ht="13.5" customHeight="1">
      <c r="A34" s="542"/>
      <c r="B34" s="491" t="s">
        <v>534</v>
      </c>
      <c r="C34" s="234" t="s">
        <v>702</v>
      </c>
      <c r="D34" s="54">
        <f>SUM(D35:D36)</f>
        <v>89</v>
      </c>
      <c r="E34" s="55">
        <f aca="true" t="shared" si="10" ref="E34:T34">SUM(E35:E36)</f>
        <v>89</v>
      </c>
      <c r="F34" s="55">
        <f t="shared" si="10"/>
        <v>0</v>
      </c>
      <c r="G34" s="55">
        <f>SUM(G35:G36)/2</f>
        <v>39</v>
      </c>
      <c r="H34" s="55">
        <f t="shared" si="10"/>
        <v>0</v>
      </c>
      <c r="I34" s="55">
        <f t="shared" si="10"/>
        <v>0</v>
      </c>
      <c r="J34" s="55">
        <f t="shared" si="10"/>
        <v>0</v>
      </c>
      <c r="K34" s="55">
        <f t="shared" si="10"/>
        <v>3</v>
      </c>
      <c r="L34" s="55">
        <f t="shared" si="10"/>
        <v>17</v>
      </c>
      <c r="M34" s="55">
        <f t="shared" si="10"/>
        <v>43</v>
      </c>
      <c r="N34" s="55">
        <f t="shared" si="10"/>
        <v>21</v>
      </c>
      <c r="O34" s="55">
        <f t="shared" si="10"/>
        <v>4</v>
      </c>
      <c r="P34" s="55">
        <f t="shared" si="10"/>
        <v>1</v>
      </c>
      <c r="Q34" s="55">
        <f t="shared" si="10"/>
        <v>3</v>
      </c>
      <c r="R34" s="55">
        <f t="shared" si="10"/>
        <v>84</v>
      </c>
      <c r="S34" s="55">
        <f t="shared" si="10"/>
        <v>2</v>
      </c>
      <c r="T34" s="55">
        <f t="shared" si="10"/>
        <v>0</v>
      </c>
    </row>
    <row r="35" spans="1:20" s="85" customFormat="1" ht="13.5" customHeight="1">
      <c r="A35" s="542"/>
      <c r="B35" s="492"/>
      <c r="C35" s="124" t="s">
        <v>703</v>
      </c>
      <c r="D35" s="64">
        <v>87</v>
      </c>
      <c r="E35" s="49">
        <v>87</v>
      </c>
      <c r="F35" s="59">
        <v>0</v>
      </c>
      <c r="G35" s="58">
        <v>42</v>
      </c>
      <c r="H35" s="58">
        <v>0</v>
      </c>
      <c r="I35" s="58">
        <v>0</v>
      </c>
      <c r="J35" s="58">
        <v>0</v>
      </c>
      <c r="K35" s="58">
        <v>2</v>
      </c>
      <c r="L35" s="58">
        <v>17</v>
      </c>
      <c r="M35" s="58">
        <v>42</v>
      </c>
      <c r="N35" s="58">
        <v>21</v>
      </c>
      <c r="O35" s="58">
        <v>4</v>
      </c>
      <c r="P35" s="59">
        <v>1</v>
      </c>
      <c r="Q35" s="59">
        <v>3</v>
      </c>
      <c r="R35" s="59">
        <v>82</v>
      </c>
      <c r="S35" s="59">
        <v>2</v>
      </c>
      <c r="T35" s="49">
        <v>0</v>
      </c>
    </row>
    <row r="36" spans="1:20" s="85" customFormat="1" ht="13.5" customHeight="1">
      <c r="A36" s="542"/>
      <c r="B36" s="493"/>
      <c r="C36" s="235" t="s">
        <v>704</v>
      </c>
      <c r="D36" s="64">
        <v>2</v>
      </c>
      <c r="E36" s="49">
        <v>2</v>
      </c>
      <c r="F36" s="59">
        <v>0</v>
      </c>
      <c r="G36" s="58">
        <v>36</v>
      </c>
      <c r="H36" s="58">
        <v>0</v>
      </c>
      <c r="I36" s="58">
        <v>0</v>
      </c>
      <c r="J36" s="58">
        <v>0</v>
      </c>
      <c r="K36" s="58">
        <v>1</v>
      </c>
      <c r="L36" s="58">
        <v>0</v>
      </c>
      <c r="M36" s="58">
        <v>1</v>
      </c>
      <c r="N36" s="58">
        <v>0</v>
      </c>
      <c r="O36" s="58">
        <v>0</v>
      </c>
      <c r="P36" s="59">
        <v>0</v>
      </c>
      <c r="Q36" s="59">
        <v>0</v>
      </c>
      <c r="R36" s="59">
        <v>2</v>
      </c>
      <c r="S36" s="59">
        <v>0</v>
      </c>
      <c r="T36" s="49">
        <v>0</v>
      </c>
    </row>
    <row r="37" spans="1:20" s="85" customFormat="1" ht="13.5" customHeight="1">
      <c r="A37" s="538" t="s">
        <v>553</v>
      </c>
      <c r="B37" s="492" t="s">
        <v>535</v>
      </c>
      <c r="C37" s="234" t="s">
        <v>702</v>
      </c>
      <c r="D37" s="54">
        <f>SUM(D38:D39)</f>
        <v>59</v>
      </c>
      <c r="E37" s="55">
        <f aca="true" t="shared" si="11" ref="E37:T37">SUM(E38:E39)</f>
        <v>59</v>
      </c>
      <c r="F37" s="55">
        <f t="shared" si="11"/>
        <v>0</v>
      </c>
      <c r="G37" s="55">
        <f>SUM(G38:G39)/2</f>
        <v>37</v>
      </c>
      <c r="H37" s="55">
        <f t="shared" si="11"/>
        <v>0</v>
      </c>
      <c r="I37" s="55">
        <f t="shared" si="11"/>
        <v>0</v>
      </c>
      <c r="J37" s="55">
        <f t="shared" si="11"/>
        <v>0</v>
      </c>
      <c r="K37" s="55">
        <f t="shared" si="11"/>
        <v>2</v>
      </c>
      <c r="L37" s="55">
        <f t="shared" si="11"/>
        <v>18</v>
      </c>
      <c r="M37" s="55">
        <f t="shared" si="11"/>
        <v>23</v>
      </c>
      <c r="N37" s="55">
        <f t="shared" si="11"/>
        <v>15</v>
      </c>
      <c r="O37" s="55">
        <f t="shared" si="11"/>
        <v>1</v>
      </c>
      <c r="P37" s="55">
        <f t="shared" si="11"/>
        <v>0</v>
      </c>
      <c r="Q37" s="55">
        <f t="shared" si="11"/>
        <v>8</v>
      </c>
      <c r="R37" s="55">
        <f t="shared" si="11"/>
        <v>50</v>
      </c>
      <c r="S37" s="55">
        <f t="shared" si="11"/>
        <v>1</v>
      </c>
      <c r="T37" s="55">
        <f t="shared" si="11"/>
        <v>0</v>
      </c>
    </row>
    <row r="38" spans="1:20" s="85" customFormat="1" ht="13.5" customHeight="1">
      <c r="A38" s="538"/>
      <c r="B38" s="492"/>
      <c r="C38" s="124" t="s">
        <v>703</v>
      </c>
      <c r="D38" s="24">
        <v>58</v>
      </c>
      <c r="E38" s="10">
        <v>58</v>
      </c>
      <c r="F38" s="10">
        <v>0</v>
      </c>
      <c r="G38" s="10">
        <v>41</v>
      </c>
      <c r="H38" s="10">
        <v>0</v>
      </c>
      <c r="I38" s="10">
        <v>0</v>
      </c>
      <c r="J38" s="10">
        <v>0</v>
      </c>
      <c r="K38" s="10">
        <v>1</v>
      </c>
      <c r="L38" s="10">
        <v>18</v>
      </c>
      <c r="M38" s="10">
        <v>23</v>
      </c>
      <c r="N38" s="10">
        <v>15</v>
      </c>
      <c r="O38" s="10">
        <v>1</v>
      </c>
      <c r="P38" s="10">
        <v>0</v>
      </c>
      <c r="Q38" s="10">
        <v>8</v>
      </c>
      <c r="R38" s="10">
        <v>50</v>
      </c>
      <c r="S38" s="10">
        <v>0</v>
      </c>
      <c r="T38" s="49">
        <v>0</v>
      </c>
    </row>
    <row r="39" spans="1:20" s="85" customFormat="1" ht="13.5" customHeight="1">
      <c r="A39" s="538"/>
      <c r="B39" s="492"/>
      <c r="C39" s="235" t="s">
        <v>704</v>
      </c>
      <c r="D39" s="24">
        <v>1</v>
      </c>
      <c r="E39" s="10">
        <v>1</v>
      </c>
      <c r="F39" s="10">
        <v>0</v>
      </c>
      <c r="G39" s="10">
        <v>33</v>
      </c>
      <c r="H39" s="10">
        <v>0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</v>
      </c>
      <c r="T39" s="49">
        <v>0</v>
      </c>
    </row>
    <row r="40" spans="1:20" s="85" customFormat="1" ht="13.5" customHeight="1">
      <c r="A40" s="538"/>
      <c r="B40" s="507" t="s">
        <v>121</v>
      </c>
      <c r="C40" s="234" t="s">
        <v>702</v>
      </c>
      <c r="D40" s="54">
        <v>1</v>
      </c>
      <c r="E40" s="55">
        <v>1</v>
      </c>
      <c r="F40" s="55">
        <v>0</v>
      </c>
      <c r="G40" s="55">
        <v>44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1</v>
      </c>
      <c r="N40" s="55">
        <v>0</v>
      </c>
      <c r="O40" s="55">
        <v>0</v>
      </c>
      <c r="P40" s="55">
        <v>0</v>
      </c>
      <c r="Q40" s="55">
        <v>1</v>
      </c>
      <c r="R40" s="55">
        <v>0</v>
      </c>
      <c r="S40" s="55">
        <v>0</v>
      </c>
      <c r="T40" s="55">
        <v>0</v>
      </c>
    </row>
    <row r="41" spans="1:20" s="85" customFormat="1" ht="13.5" customHeight="1">
      <c r="A41" s="538"/>
      <c r="B41" s="516"/>
      <c r="C41" s="124" t="s">
        <v>703</v>
      </c>
      <c r="D41" s="24">
        <v>1</v>
      </c>
      <c r="E41" s="10">
        <v>1</v>
      </c>
      <c r="F41" s="10">
        <v>0</v>
      </c>
      <c r="G41" s="10">
        <v>44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1</v>
      </c>
      <c r="R41" s="10">
        <v>0</v>
      </c>
      <c r="S41" s="10">
        <v>0</v>
      </c>
      <c r="T41" s="49">
        <v>0</v>
      </c>
    </row>
    <row r="42" spans="1:20" s="85" customFormat="1" ht="13.5" customHeight="1">
      <c r="A42" s="538"/>
      <c r="B42" s="517"/>
      <c r="C42" s="235" t="s">
        <v>704</v>
      </c>
      <c r="D42" s="24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49">
        <v>0</v>
      </c>
    </row>
    <row r="43" spans="1:20" s="85" customFormat="1" ht="13.5" customHeight="1">
      <c r="A43" s="538"/>
      <c r="B43" s="516" t="s">
        <v>122</v>
      </c>
      <c r="C43" s="234" t="s">
        <v>687</v>
      </c>
      <c r="D43" s="54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</row>
    <row r="44" spans="1:20" s="85" customFormat="1" ht="13.5" customHeight="1">
      <c r="A44" s="556"/>
      <c r="B44" s="516"/>
      <c r="C44" s="124" t="s">
        <v>688</v>
      </c>
      <c r="D44" s="24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s="85" customFormat="1" ht="13.5" customHeight="1">
      <c r="A45" s="545"/>
      <c r="B45" s="517"/>
      <c r="C45" s="124" t="s">
        <v>689</v>
      </c>
      <c r="D45" s="132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s="93" customFormat="1" ht="13.5" customHeight="1">
      <c r="A46" s="92"/>
      <c r="B46" s="92"/>
      <c r="C46" s="92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1:20" s="93" customFormat="1" ht="13.5" customHeight="1">
      <c r="A47" s="92"/>
      <c r="B47" s="92"/>
      <c r="C47" s="92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="93" customFormat="1" ht="8.25" customHeight="1"/>
    <row r="49" spans="1:20" s="93" customFormat="1" ht="13.5" customHeight="1">
      <c r="A49" s="63"/>
      <c r="B49" s="63"/>
      <c r="C49" s="63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s="93" customFormat="1" ht="9.75" customHeight="1">
      <c r="A50" s="63"/>
      <c r="B50" s="63"/>
      <c r="C50" s="63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="93" customFormat="1" ht="13.5" customHeight="1"/>
    <row r="56" spans="1:20" ht="15.75">
      <c r="A56" s="535" t="str">
        <f>"- "&amp;Sheet1!L33&amp;" -"</f>
        <v>- 204 -</v>
      </c>
      <c r="B56" s="535"/>
      <c r="C56" s="535"/>
      <c r="D56" s="535"/>
      <c r="E56" s="535"/>
      <c r="F56" s="535"/>
      <c r="G56" s="535"/>
      <c r="H56" s="535"/>
      <c r="I56" s="535"/>
      <c r="J56" s="535"/>
      <c r="K56" s="535" t="str">
        <f>"- "&amp;Sheet1!M33&amp;" -"</f>
        <v>- 205 -</v>
      </c>
      <c r="L56" s="535"/>
      <c r="M56" s="535"/>
      <c r="N56" s="535"/>
      <c r="O56" s="535"/>
      <c r="P56" s="535"/>
      <c r="Q56" s="535"/>
      <c r="R56" s="535"/>
      <c r="S56" s="535"/>
      <c r="T56" s="535"/>
    </row>
  </sheetData>
  <sheetProtection/>
  <mergeCells count="31">
    <mergeCell ref="K1:T1"/>
    <mergeCell ref="Q5:T5"/>
    <mergeCell ref="E5:E6"/>
    <mergeCell ref="F5:F6"/>
    <mergeCell ref="G5:G6"/>
    <mergeCell ref="L3:S3"/>
    <mergeCell ref="A1:J1"/>
    <mergeCell ref="B22:B24"/>
    <mergeCell ref="B13:B15"/>
    <mergeCell ref="K5:P5"/>
    <mergeCell ref="C3:H3"/>
    <mergeCell ref="D5:D6"/>
    <mergeCell ref="B7:B9"/>
    <mergeCell ref="H5:J5"/>
    <mergeCell ref="K56:T56"/>
    <mergeCell ref="A56:J56"/>
    <mergeCell ref="B43:B45"/>
    <mergeCell ref="B25:B27"/>
    <mergeCell ref="A25:A36"/>
    <mergeCell ref="B28:B30"/>
    <mergeCell ref="B31:B33"/>
    <mergeCell ref="A7:A15"/>
    <mergeCell ref="A5:C6"/>
    <mergeCell ref="B37:B39"/>
    <mergeCell ref="B19:B21"/>
    <mergeCell ref="A37:A45"/>
    <mergeCell ref="B34:B36"/>
    <mergeCell ref="A16:A24"/>
    <mergeCell ref="B10:B12"/>
    <mergeCell ref="B40:B42"/>
    <mergeCell ref="B16:B18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S62"/>
  <sheetViews>
    <sheetView view="pageLayout" zoomScale="85" zoomScaleNormal="85" zoomScaleSheetLayoutView="85" zoomScalePageLayoutView="85" workbookViewId="0" topLeftCell="A20">
      <selection activeCell="A53" sqref="A53:J53"/>
    </sheetView>
  </sheetViews>
  <sheetFormatPr defaultColWidth="9.00390625" defaultRowHeight="16.5"/>
  <cols>
    <col min="1" max="1" width="6.50390625" style="92" customWidth="1"/>
    <col min="2" max="2" width="9.75390625" style="92" customWidth="1"/>
    <col min="3" max="3" width="8.0039062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1" width="8.875" style="89" customWidth="1"/>
    <col min="12" max="12" width="9.00390625" style="89" customWidth="1"/>
    <col min="13" max="13" width="9.375" style="89" customWidth="1"/>
    <col min="14" max="14" width="8.625" style="89" customWidth="1"/>
    <col min="15" max="15" width="9.00390625" style="89" customWidth="1"/>
    <col min="16" max="16" width="8.75390625" style="89" customWidth="1"/>
    <col min="17" max="17" width="8.875" style="89" customWidth="1"/>
    <col min="18" max="18" width="9.875" style="89" customWidth="1"/>
    <col min="19" max="19" width="9.50390625" style="89" customWidth="1"/>
    <col min="20" max="20" width="9.875" style="89" customWidth="1"/>
    <col min="21" max="16384" width="9.00390625" style="89" customWidth="1"/>
  </cols>
  <sheetData>
    <row r="1" spans="1:20" s="96" customFormat="1" ht="19.5">
      <c r="A1" s="539" t="s">
        <v>554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216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15.75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698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695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713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85.5" customHeight="1">
      <c r="A6" s="510"/>
      <c r="B6" s="510"/>
      <c r="C6" s="511"/>
      <c r="D6" s="512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20" t="s">
        <v>711</v>
      </c>
    </row>
    <row r="7" spans="1:45" s="93" customFormat="1" ht="13.5" customHeight="1">
      <c r="A7" s="541" t="s">
        <v>123</v>
      </c>
      <c r="B7" s="536" t="s">
        <v>518</v>
      </c>
      <c r="C7" s="234" t="s">
        <v>687</v>
      </c>
      <c r="D7" s="54">
        <f>SUM(D10,D13,D16,D19,D22,D25,D28,D31,D34)</f>
        <v>243</v>
      </c>
      <c r="E7" s="56">
        <f>SUM(E10,E13,E16,E19,E22,E25,E28,E31,E34)</f>
        <v>240</v>
      </c>
      <c r="F7" s="56">
        <f>SUM(F10,F13,F16,F19,F22,F25,F28,F31,F34)</f>
        <v>3</v>
      </c>
      <c r="G7" s="56">
        <f>SUM(G10,G13,G16,G19,G22,G25,G28,G31,G34)/9</f>
        <v>30.72222222222222</v>
      </c>
      <c r="H7" s="56">
        <f aca="true" t="shared" si="0" ref="H7:T7">SUM(H10,H13,H16,H19,H22,H25,H28,H31,H34)</f>
        <v>0</v>
      </c>
      <c r="I7" s="56">
        <f t="shared" si="0"/>
        <v>5</v>
      </c>
      <c r="J7" s="56">
        <f t="shared" si="0"/>
        <v>104</v>
      </c>
      <c r="K7" s="56">
        <f t="shared" si="0"/>
        <v>78</v>
      </c>
      <c r="L7" s="56">
        <f t="shared" si="0"/>
        <v>34</v>
      </c>
      <c r="M7" s="56">
        <f t="shared" si="0"/>
        <v>18</v>
      </c>
      <c r="N7" s="56">
        <f t="shared" si="0"/>
        <v>4</v>
      </c>
      <c r="O7" s="56">
        <f t="shared" si="0"/>
        <v>0</v>
      </c>
      <c r="P7" s="56">
        <f t="shared" si="0"/>
        <v>0</v>
      </c>
      <c r="Q7" s="56">
        <f t="shared" si="0"/>
        <v>34</v>
      </c>
      <c r="R7" s="56">
        <f t="shared" si="0"/>
        <v>169</v>
      </c>
      <c r="S7" s="56">
        <f t="shared" si="0"/>
        <v>0</v>
      </c>
      <c r="T7" s="55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492"/>
      <c r="C8" s="124" t="s">
        <v>688</v>
      </c>
      <c r="D8" s="24">
        <f aca="true" t="shared" si="1" ref="D8:S9">SUM(D11,D14,D17,D20,D23,D26,D29,D32,D35)</f>
        <v>129</v>
      </c>
      <c r="E8" s="10">
        <f t="shared" si="1"/>
        <v>126</v>
      </c>
      <c r="F8" s="10">
        <f t="shared" si="1"/>
        <v>3</v>
      </c>
      <c r="G8" s="10">
        <f>SUM(G11,G14,G17,G20,G23,G26,G29,G32,G35)/9</f>
        <v>32</v>
      </c>
      <c r="H8" s="10">
        <f t="shared" si="1"/>
        <v>0</v>
      </c>
      <c r="I8" s="10">
        <f t="shared" si="1"/>
        <v>2</v>
      </c>
      <c r="J8" s="10">
        <f t="shared" si="1"/>
        <v>44</v>
      </c>
      <c r="K8" s="10">
        <f t="shared" si="1"/>
        <v>42</v>
      </c>
      <c r="L8" s="10">
        <f t="shared" si="1"/>
        <v>25</v>
      </c>
      <c r="M8" s="10">
        <f t="shared" si="1"/>
        <v>13</v>
      </c>
      <c r="N8" s="10">
        <f t="shared" si="1"/>
        <v>3</v>
      </c>
      <c r="O8" s="10">
        <f t="shared" si="1"/>
        <v>0</v>
      </c>
      <c r="P8" s="10">
        <f t="shared" si="1"/>
        <v>0</v>
      </c>
      <c r="Q8" s="10">
        <f t="shared" si="1"/>
        <v>23</v>
      </c>
      <c r="R8" s="10">
        <f t="shared" si="1"/>
        <v>82</v>
      </c>
      <c r="S8" s="10">
        <f t="shared" si="1"/>
        <v>0</v>
      </c>
      <c r="T8" s="10">
        <f>SUM(T11,T14,T17,T20,T23,T26,T29,T32,T35)</f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493"/>
      <c r="C9" s="235" t="s">
        <v>689</v>
      </c>
      <c r="D9" s="24">
        <f t="shared" si="1"/>
        <v>114</v>
      </c>
      <c r="E9" s="10">
        <f t="shared" si="1"/>
        <v>114</v>
      </c>
      <c r="F9" s="10">
        <f t="shared" si="1"/>
        <v>0</v>
      </c>
      <c r="G9" s="10">
        <f>SUM(G12,G15,G18,G21,G24,G27,G30,G33,G36)/9</f>
        <v>29.22222222222222</v>
      </c>
      <c r="H9" s="10">
        <f t="shared" si="1"/>
        <v>0</v>
      </c>
      <c r="I9" s="10">
        <f t="shared" si="1"/>
        <v>3</v>
      </c>
      <c r="J9" s="10">
        <f t="shared" si="1"/>
        <v>60</v>
      </c>
      <c r="K9" s="10">
        <f t="shared" si="1"/>
        <v>36</v>
      </c>
      <c r="L9" s="10">
        <f t="shared" si="1"/>
        <v>9</v>
      </c>
      <c r="M9" s="10">
        <f t="shared" si="1"/>
        <v>5</v>
      </c>
      <c r="N9" s="10">
        <f t="shared" si="1"/>
        <v>1</v>
      </c>
      <c r="O9" s="10">
        <f t="shared" si="1"/>
        <v>0</v>
      </c>
      <c r="P9" s="10">
        <f t="shared" si="1"/>
        <v>0</v>
      </c>
      <c r="Q9" s="10">
        <f t="shared" si="1"/>
        <v>11</v>
      </c>
      <c r="R9" s="10">
        <f t="shared" si="1"/>
        <v>87</v>
      </c>
      <c r="S9" s="10">
        <f t="shared" si="1"/>
        <v>0</v>
      </c>
      <c r="T9" s="10">
        <f>SUM(T12,T15,T18,T21,T24,T27,T30,T33,T36)</f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542"/>
      <c r="B10" s="507" t="s">
        <v>519</v>
      </c>
      <c r="C10" s="234" t="s">
        <v>687</v>
      </c>
      <c r="D10" s="54">
        <f>SUM(D11:D12)</f>
        <v>21</v>
      </c>
      <c r="E10" s="55">
        <f aca="true" t="shared" si="2" ref="E10:T10">SUM(E11:E12)</f>
        <v>21</v>
      </c>
      <c r="F10" s="55">
        <f t="shared" si="2"/>
        <v>0</v>
      </c>
      <c r="G10" s="55">
        <f>SUM(G11:G12)/2</f>
        <v>29</v>
      </c>
      <c r="H10" s="55">
        <f t="shared" si="2"/>
        <v>0</v>
      </c>
      <c r="I10" s="55">
        <f t="shared" si="2"/>
        <v>0</v>
      </c>
      <c r="J10" s="55">
        <f t="shared" si="2"/>
        <v>14</v>
      </c>
      <c r="K10" s="55">
        <f t="shared" si="2"/>
        <v>4</v>
      </c>
      <c r="L10" s="55">
        <f t="shared" si="2"/>
        <v>1</v>
      </c>
      <c r="M10" s="55">
        <f t="shared" si="2"/>
        <v>2</v>
      </c>
      <c r="N10" s="55">
        <f t="shared" si="2"/>
        <v>0</v>
      </c>
      <c r="O10" s="55">
        <f t="shared" si="2"/>
        <v>0</v>
      </c>
      <c r="P10" s="55">
        <f t="shared" si="2"/>
        <v>0</v>
      </c>
      <c r="Q10" s="55">
        <f t="shared" si="2"/>
        <v>0</v>
      </c>
      <c r="R10" s="55">
        <f t="shared" si="2"/>
        <v>0</v>
      </c>
      <c r="S10" s="55">
        <f t="shared" si="2"/>
        <v>0</v>
      </c>
      <c r="T10" s="55">
        <f t="shared" si="2"/>
        <v>0</v>
      </c>
    </row>
    <row r="11" spans="1:20" s="93" customFormat="1" ht="13.5" customHeight="1">
      <c r="A11" s="542"/>
      <c r="B11" s="516"/>
      <c r="C11" s="124" t="s">
        <v>688</v>
      </c>
      <c r="D11" s="24">
        <v>14</v>
      </c>
      <c r="E11" s="10">
        <v>14</v>
      </c>
      <c r="F11" s="10">
        <v>0</v>
      </c>
      <c r="G11" s="10">
        <v>30</v>
      </c>
      <c r="H11" s="10">
        <v>0</v>
      </c>
      <c r="I11" s="10">
        <v>0</v>
      </c>
      <c r="J11" s="10">
        <v>10</v>
      </c>
      <c r="K11" s="10">
        <v>1</v>
      </c>
      <c r="L11" s="10">
        <v>1</v>
      </c>
      <c r="M11" s="10">
        <v>2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</row>
    <row r="12" spans="1:20" s="93" customFormat="1" ht="13.5" customHeight="1">
      <c r="A12" s="542"/>
      <c r="B12" s="517"/>
      <c r="C12" s="124" t="s">
        <v>689</v>
      </c>
      <c r="D12" s="24">
        <v>7</v>
      </c>
      <c r="E12" s="10">
        <v>7</v>
      </c>
      <c r="F12" s="10">
        <v>0</v>
      </c>
      <c r="G12" s="10">
        <v>28</v>
      </c>
      <c r="H12" s="10">
        <v>0</v>
      </c>
      <c r="I12" s="10">
        <v>0</v>
      </c>
      <c r="J12" s="10">
        <v>4</v>
      </c>
      <c r="K12" s="10">
        <v>3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s="93" customFormat="1" ht="13.5" customHeight="1">
      <c r="A13" s="542"/>
      <c r="B13" s="507" t="s">
        <v>520</v>
      </c>
      <c r="C13" s="234" t="s">
        <v>702</v>
      </c>
      <c r="D13" s="54">
        <f>SUM(D14:D15)</f>
        <v>19</v>
      </c>
      <c r="E13" s="55">
        <f aca="true" t="shared" si="3" ref="E13:T13">SUM(E14:E15)</f>
        <v>19</v>
      </c>
      <c r="F13" s="55">
        <f t="shared" si="3"/>
        <v>0</v>
      </c>
      <c r="G13" s="55">
        <f>SUM(G14:G15)/2</f>
        <v>30.5</v>
      </c>
      <c r="H13" s="55">
        <f t="shared" si="3"/>
        <v>0</v>
      </c>
      <c r="I13" s="55">
        <f t="shared" si="3"/>
        <v>0</v>
      </c>
      <c r="J13" s="55">
        <f t="shared" si="3"/>
        <v>6</v>
      </c>
      <c r="K13" s="55">
        <f t="shared" si="3"/>
        <v>10</v>
      </c>
      <c r="L13" s="55">
        <f t="shared" si="3"/>
        <v>3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0</v>
      </c>
      <c r="R13" s="55">
        <f t="shared" si="3"/>
        <v>0</v>
      </c>
      <c r="S13" s="55">
        <f t="shared" si="3"/>
        <v>0</v>
      </c>
      <c r="T13" s="55">
        <f t="shared" si="3"/>
        <v>0</v>
      </c>
    </row>
    <row r="14" spans="1:20" s="93" customFormat="1" ht="13.5" customHeight="1">
      <c r="A14" s="542"/>
      <c r="B14" s="516"/>
      <c r="C14" s="124" t="s">
        <v>703</v>
      </c>
      <c r="D14" s="24">
        <v>10</v>
      </c>
      <c r="E14" s="10">
        <v>10</v>
      </c>
      <c r="F14" s="10">
        <v>0</v>
      </c>
      <c r="G14" s="10">
        <v>32</v>
      </c>
      <c r="H14" s="10">
        <v>0</v>
      </c>
      <c r="I14" s="10">
        <v>0</v>
      </c>
      <c r="J14" s="10">
        <v>3</v>
      </c>
      <c r="K14" s="10">
        <v>4</v>
      </c>
      <c r="L14" s="10">
        <v>3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93" customFormat="1" ht="13.5" customHeight="1">
      <c r="A15" s="542"/>
      <c r="B15" s="517"/>
      <c r="C15" s="235" t="s">
        <v>704</v>
      </c>
      <c r="D15" s="24">
        <v>9</v>
      </c>
      <c r="E15" s="10">
        <v>9</v>
      </c>
      <c r="F15" s="10">
        <v>0</v>
      </c>
      <c r="G15" s="10">
        <v>29</v>
      </c>
      <c r="H15" s="10">
        <v>0</v>
      </c>
      <c r="I15" s="10">
        <v>0</v>
      </c>
      <c r="J15" s="10">
        <v>3</v>
      </c>
      <c r="K15" s="10">
        <v>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93" customFormat="1" ht="13.5" customHeight="1">
      <c r="A16" s="542"/>
      <c r="B16" s="491" t="s">
        <v>521</v>
      </c>
      <c r="C16" s="234" t="s">
        <v>702</v>
      </c>
      <c r="D16" s="54">
        <f>SUM(D17:D18)</f>
        <v>26</v>
      </c>
      <c r="E16" s="55">
        <f aca="true" t="shared" si="4" ref="E16:T16">SUM(E17:E18)</f>
        <v>26</v>
      </c>
      <c r="F16" s="55">
        <f t="shared" si="4"/>
        <v>0</v>
      </c>
      <c r="G16" s="55">
        <f>SUM(G17:G18)/2</f>
        <v>31</v>
      </c>
      <c r="H16" s="55">
        <f t="shared" si="4"/>
        <v>0</v>
      </c>
      <c r="I16" s="55">
        <f t="shared" si="4"/>
        <v>1</v>
      </c>
      <c r="J16" s="55">
        <f t="shared" si="4"/>
        <v>8</v>
      </c>
      <c r="K16" s="55">
        <f t="shared" si="4"/>
        <v>12</v>
      </c>
      <c r="L16" s="55">
        <f t="shared" si="4"/>
        <v>3</v>
      </c>
      <c r="M16" s="55">
        <f t="shared" si="4"/>
        <v>2</v>
      </c>
      <c r="N16" s="55">
        <f t="shared" si="4"/>
        <v>0</v>
      </c>
      <c r="O16" s="55">
        <f t="shared" si="4"/>
        <v>0</v>
      </c>
      <c r="P16" s="55">
        <f t="shared" si="4"/>
        <v>0</v>
      </c>
      <c r="Q16" s="55">
        <f t="shared" si="4"/>
        <v>0</v>
      </c>
      <c r="R16" s="55">
        <f t="shared" si="4"/>
        <v>26</v>
      </c>
      <c r="S16" s="55">
        <f t="shared" si="4"/>
        <v>0</v>
      </c>
      <c r="T16" s="55">
        <f t="shared" si="4"/>
        <v>0</v>
      </c>
    </row>
    <row r="17" spans="1:20" s="93" customFormat="1" ht="13.5" customHeight="1">
      <c r="A17" s="542"/>
      <c r="B17" s="492"/>
      <c r="C17" s="124" t="s">
        <v>703</v>
      </c>
      <c r="D17" s="64">
        <v>15</v>
      </c>
      <c r="E17" s="49">
        <v>15</v>
      </c>
      <c r="F17" s="58">
        <v>0</v>
      </c>
      <c r="G17" s="49">
        <v>32</v>
      </c>
      <c r="H17" s="49">
        <v>0</v>
      </c>
      <c r="I17" s="49">
        <v>0</v>
      </c>
      <c r="J17" s="59">
        <v>5</v>
      </c>
      <c r="K17" s="58">
        <v>6</v>
      </c>
      <c r="L17" s="58">
        <v>2</v>
      </c>
      <c r="M17" s="58">
        <v>2</v>
      </c>
      <c r="N17" s="58">
        <v>0</v>
      </c>
      <c r="O17" s="58">
        <v>0</v>
      </c>
      <c r="P17" s="58">
        <v>0</v>
      </c>
      <c r="Q17" s="58">
        <v>0</v>
      </c>
      <c r="R17" s="58">
        <v>15</v>
      </c>
      <c r="S17" s="58">
        <v>0</v>
      </c>
      <c r="T17" s="58">
        <v>0</v>
      </c>
    </row>
    <row r="18" spans="1:20" s="93" customFormat="1" ht="13.5" customHeight="1">
      <c r="A18" s="542"/>
      <c r="B18" s="493"/>
      <c r="C18" s="235" t="s">
        <v>704</v>
      </c>
      <c r="D18" s="64">
        <v>11</v>
      </c>
      <c r="E18" s="49">
        <v>11</v>
      </c>
      <c r="F18" s="58">
        <v>0</v>
      </c>
      <c r="G18" s="49">
        <v>30</v>
      </c>
      <c r="H18" s="49">
        <v>0</v>
      </c>
      <c r="I18" s="49">
        <v>1</v>
      </c>
      <c r="J18" s="59">
        <v>3</v>
      </c>
      <c r="K18" s="58">
        <v>6</v>
      </c>
      <c r="L18" s="58">
        <v>1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11</v>
      </c>
      <c r="S18" s="58">
        <v>0</v>
      </c>
      <c r="T18" s="58">
        <v>0</v>
      </c>
    </row>
    <row r="19" spans="1:20" s="93" customFormat="1" ht="13.5" customHeight="1">
      <c r="A19" s="542"/>
      <c r="B19" s="507" t="s">
        <v>532</v>
      </c>
      <c r="C19" s="234" t="s">
        <v>702</v>
      </c>
      <c r="D19" s="54">
        <f>SUM(D20:D21)</f>
        <v>44</v>
      </c>
      <c r="E19" s="55">
        <f aca="true" t="shared" si="5" ref="E19:T19">SUM(E20:E21)</f>
        <v>44</v>
      </c>
      <c r="F19" s="55">
        <f t="shared" si="5"/>
        <v>0</v>
      </c>
      <c r="G19" s="55">
        <f>SUM(G20:G21)/2</f>
        <v>31.5</v>
      </c>
      <c r="H19" s="55">
        <f t="shared" si="5"/>
        <v>0</v>
      </c>
      <c r="I19" s="55">
        <f t="shared" si="5"/>
        <v>3</v>
      </c>
      <c r="J19" s="55">
        <f t="shared" si="5"/>
        <v>14</v>
      </c>
      <c r="K19" s="55">
        <f t="shared" si="5"/>
        <v>13</v>
      </c>
      <c r="L19" s="55">
        <f t="shared" si="5"/>
        <v>10</v>
      </c>
      <c r="M19" s="55">
        <f t="shared" si="5"/>
        <v>3</v>
      </c>
      <c r="N19" s="55">
        <f t="shared" si="5"/>
        <v>1</v>
      </c>
      <c r="O19" s="55">
        <f t="shared" si="5"/>
        <v>0</v>
      </c>
      <c r="P19" s="55">
        <f t="shared" si="5"/>
        <v>0</v>
      </c>
      <c r="Q19" s="55">
        <f t="shared" si="5"/>
        <v>8</v>
      </c>
      <c r="R19" s="55">
        <f t="shared" si="5"/>
        <v>36</v>
      </c>
      <c r="S19" s="55">
        <f t="shared" si="5"/>
        <v>0</v>
      </c>
      <c r="T19" s="55">
        <f t="shared" si="5"/>
        <v>0</v>
      </c>
    </row>
    <row r="20" spans="1:20" s="93" customFormat="1" ht="13.5" customHeight="1">
      <c r="A20" s="542"/>
      <c r="B20" s="516"/>
      <c r="C20" s="124" t="s">
        <v>703</v>
      </c>
      <c r="D20" s="64">
        <v>20</v>
      </c>
      <c r="E20" s="49">
        <v>20</v>
      </c>
      <c r="F20" s="58">
        <v>0</v>
      </c>
      <c r="G20" s="49">
        <v>32</v>
      </c>
      <c r="H20" s="49">
        <v>0</v>
      </c>
      <c r="I20" s="49">
        <v>1</v>
      </c>
      <c r="J20" s="59">
        <v>6</v>
      </c>
      <c r="K20" s="58">
        <v>7</v>
      </c>
      <c r="L20" s="58">
        <v>5</v>
      </c>
      <c r="M20" s="58">
        <v>1</v>
      </c>
      <c r="N20" s="58">
        <v>0</v>
      </c>
      <c r="O20" s="58">
        <v>0</v>
      </c>
      <c r="P20" s="58">
        <v>0</v>
      </c>
      <c r="Q20" s="58">
        <v>6</v>
      </c>
      <c r="R20" s="58">
        <v>14</v>
      </c>
      <c r="S20" s="58">
        <v>0</v>
      </c>
      <c r="T20" s="62">
        <v>0</v>
      </c>
    </row>
    <row r="21" spans="1:20" s="93" customFormat="1" ht="13.5" customHeight="1">
      <c r="A21" s="542"/>
      <c r="B21" s="517"/>
      <c r="C21" s="235" t="s">
        <v>704</v>
      </c>
      <c r="D21" s="64">
        <v>24</v>
      </c>
      <c r="E21" s="49">
        <v>24</v>
      </c>
      <c r="F21" s="58">
        <v>0</v>
      </c>
      <c r="G21" s="49">
        <v>31</v>
      </c>
      <c r="H21" s="49">
        <v>0</v>
      </c>
      <c r="I21" s="49">
        <v>2</v>
      </c>
      <c r="J21" s="59">
        <v>8</v>
      </c>
      <c r="K21" s="58">
        <v>6</v>
      </c>
      <c r="L21" s="58">
        <v>5</v>
      </c>
      <c r="M21" s="58">
        <v>2</v>
      </c>
      <c r="N21" s="58">
        <v>1</v>
      </c>
      <c r="O21" s="58">
        <v>0</v>
      </c>
      <c r="P21" s="58">
        <v>0</v>
      </c>
      <c r="Q21" s="58">
        <v>2</v>
      </c>
      <c r="R21" s="58">
        <v>22</v>
      </c>
      <c r="S21" s="58">
        <v>0</v>
      </c>
      <c r="T21" s="62">
        <v>0</v>
      </c>
    </row>
    <row r="22" spans="1:20" s="93" customFormat="1" ht="13.5" customHeight="1">
      <c r="A22" s="538" t="s">
        <v>124</v>
      </c>
      <c r="B22" s="507" t="s">
        <v>533</v>
      </c>
      <c r="C22" s="234" t="s">
        <v>702</v>
      </c>
      <c r="D22" s="54">
        <f>SUM(D23:D24)</f>
        <v>13</v>
      </c>
      <c r="E22" s="55">
        <f aca="true" t="shared" si="6" ref="E22:T22">SUM(E23:E24)</f>
        <v>13</v>
      </c>
      <c r="F22" s="55">
        <f t="shared" si="6"/>
        <v>0</v>
      </c>
      <c r="G22" s="55">
        <v>35</v>
      </c>
      <c r="H22" s="55">
        <f t="shared" si="6"/>
        <v>0</v>
      </c>
      <c r="I22" s="55">
        <f t="shared" si="6"/>
        <v>0</v>
      </c>
      <c r="J22" s="55">
        <f t="shared" si="6"/>
        <v>3</v>
      </c>
      <c r="K22" s="55">
        <f t="shared" si="6"/>
        <v>4</v>
      </c>
      <c r="L22" s="55">
        <f t="shared" si="6"/>
        <v>3</v>
      </c>
      <c r="M22" s="55">
        <f t="shared" si="6"/>
        <v>3</v>
      </c>
      <c r="N22" s="55">
        <f t="shared" si="6"/>
        <v>0</v>
      </c>
      <c r="O22" s="55">
        <f t="shared" si="6"/>
        <v>0</v>
      </c>
      <c r="P22" s="55">
        <f t="shared" si="6"/>
        <v>0</v>
      </c>
      <c r="Q22" s="55">
        <f t="shared" si="6"/>
        <v>1</v>
      </c>
      <c r="R22" s="55">
        <f t="shared" si="6"/>
        <v>12</v>
      </c>
      <c r="S22" s="55">
        <f t="shared" si="6"/>
        <v>0</v>
      </c>
      <c r="T22" s="55">
        <f t="shared" si="6"/>
        <v>0</v>
      </c>
    </row>
    <row r="23" spans="1:20" s="93" customFormat="1" ht="13.5" customHeight="1">
      <c r="A23" s="538"/>
      <c r="B23" s="516"/>
      <c r="C23" s="124" t="s">
        <v>703</v>
      </c>
      <c r="D23" s="64">
        <v>8</v>
      </c>
      <c r="E23" s="49">
        <v>8</v>
      </c>
      <c r="F23" s="49">
        <v>0</v>
      </c>
      <c r="G23" s="49">
        <v>35</v>
      </c>
      <c r="H23" s="49">
        <v>0</v>
      </c>
      <c r="I23" s="49">
        <v>0</v>
      </c>
      <c r="J23" s="49">
        <v>2</v>
      </c>
      <c r="K23" s="49">
        <v>1</v>
      </c>
      <c r="L23" s="49">
        <v>3</v>
      </c>
      <c r="M23" s="49">
        <v>2</v>
      </c>
      <c r="N23" s="49">
        <v>0</v>
      </c>
      <c r="O23" s="49">
        <v>0</v>
      </c>
      <c r="P23" s="49">
        <v>0</v>
      </c>
      <c r="Q23" s="49">
        <v>1</v>
      </c>
      <c r="R23" s="49">
        <v>7</v>
      </c>
      <c r="S23" s="49">
        <v>0</v>
      </c>
      <c r="T23" s="49">
        <v>0</v>
      </c>
    </row>
    <row r="24" spans="1:20" s="93" customFormat="1" ht="13.5" customHeight="1">
      <c r="A24" s="538"/>
      <c r="B24" s="517"/>
      <c r="C24" s="235" t="s">
        <v>704</v>
      </c>
      <c r="D24" s="64">
        <v>5</v>
      </c>
      <c r="E24" s="49">
        <v>5</v>
      </c>
      <c r="F24" s="49">
        <v>0</v>
      </c>
      <c r="G24" s="49">
        <v>32</v>
      </c>
      <c r="H24" s="49">
        <v>0</v>
      </c>
      <c r="I24" s="49">
        <v>0</v>
      </c>
      <c r="J24" s="49">
        <v>1</v>
      </c>
      <c r="K24" s="49">
        <v>3</v>
      </c>
      <c r="L24" s="49">
        <v>0</v>
      </c>
      <c r="M24" s="49">
        <v>1</v>
      </c>
      <c r="N24" s="49">
        <v>0</v>
      </c>
      <c r="O24" s="49">
        <v>0</v>
      </c>
      <c r="P24" s="49">
        <v>0</v>
      </c>
      <c r="Q24" s="49">
        <v>0</v>
      </c>
      <c r="R24" s="49">
        <v>5</v>
      </c>
      <c r="S24" s="49">
        <v>0</v>
      </c>
      <c r="T24" s="49">
        <v>0</v>
      </c>
    </row>
    <row r="25" spans="1:20" s="93" customFormat="1" ht="13.5" customHeight="1">
      <c r="A25" s="538"/>
      <c r="B25" s="507" t="s">
        <v>534</v>
      </c>
      <c r="C25" s="234" t="s">
        <v>702</v>
      </c>
      <c r="D25" s="54">
        <f>SUM(D26:D27)</f>
        <v>29</v>
      </c>
      <c r="E25" s="55">
        <f aca="true" t="shared" si="7" ref="E25:T25">SUM(E26:E27)</f>
        <v>29</v>
      </c>
      <c r="F25" s="55">
        <f t="shared" si="7"/>
        <v>0</v>
      </c>
      <c r="G25" s="55">
        <v>30</v>
      </c>
      <c r="H25" s="55">
        <f t="shared" si="7"/>
        <v>0</v>
      </c>
      <c r="I25" s="55">
        <f t="shared" si="7"/>
        <v>0</v>
      </c>
      <c r="J25" s="55">
        <f t="shared" si="7"/>
        <v>17</v>
      </c>
      <c r="K25" s="55">
        <f t="shared" si="7"/>
        <v>6</v>
      </c>
      <c r="L25" s="55">
        <f t="shared" si="7"/>
        <v>4</v>
      </c>
      <c r="M25" s="55">
        <f t="shared" si="7"/>
        <v>1</v>
      </c>
      <c r="N25" s="55">
        <f t="shared" si="7"/>
        <v>1</v>
      </c>
      <c r="O25" s="55">
        <f t="shared" si="7"/>
        <v>0</v>
      </c>
      <c r="P25" s="55">
        <f t="shared" si="7"/>
        <v>0</v>
      </c>
      <c r="Q25" s="55">
        <f t="shared" si="7"/>
        <v>3</v>
      </c>
      <c r="R25" s="55">
        <f t="shared" si="7"/>
        <v>26</v>
      </c>
      <c r="S25" s="55">
        <f t="shared" si="7"/>
        <v>0</v>
      </c>
      <c r="T25" s="55">
        <f t="shared" si="7"/>
        <v>0</v>
      </c>
    </row>
    <row r="26" spans="1:20" s="93" customFormat="1" ht="13.5" customHeight="1">
      <c r="A26" s="538"/>
      <c r="B26" s="516"/>
      <c r="C26" s="124" t="s">
        <v>703</v>
      </c>
      <c r="D26" s="64">
        <v>12</v>
      </c>
      <c r="E26" s="49">
        <v>12</v>
      </c>
      <c r="F26" s="58">
        <v>0</v>
      </c>
      <c r="G26" s="49">
        <v>32</v>
      </c>
      <c r="H26" s="49">
        <v>0</v>
      </c>
      <c r="I26" s="49">
        <v>0</v>
      </c>
      <c r="J26" s="59">
        <v>6</v>
      </c>
      <c r="K26" s="58">
        <v>2</v>
      </c>
      <c r="L26" s="58">
        <v>3</v>
      </c>
      <c r="M26" s="58">
        <v>0</v>
      </c>
      <c r="N26" s="58">
        <v>1</v>
      </c>
      <c r="O26" s="58">
        <v>0</v>
      </c>
      <c r="P26" s="58">
        <v>0</v>
      </c>
      <c r="Q26" s="58">
        <v>2</v>
      </c>
      <c r="R26" s="58">
        <v>10</v>
      </c>
      <c r="S26" s="58">
        <v>0</v>
      </c>
      <c r="T26" s="58">
        <v>0</v>
      </c>
    </row>
    <row r="27" spans="1:20" s="93" customFormat="1" ht="13.5" customHeight="1">
      <c r="A27" s="538"/>
      <c r="B27" s="517"/>
      <c r="C27" s="235" t="s">
        <v>704</v>
      </c>
      <c r="D27" s="64">
        <v>17</v>
      </c>
      <c r="E27" s="49">
        <v>17</v>
      </c>
      <c r="F27" s="58">
        <v>0</v>
      </c>
      <c r="G27" s="49">
        <v>29</v>
      </c>
      <c r="H27" s="49">
        <v>0</v>
      </c>
      <c r="I27" s="49">
        <v>0</v>
      </c>
      <c r="J27" s="59">
        <v>11</v>
      </c>
      <c r="K27" s="58">
        <v>4</v>
      </c>
      <c r="L27" s="58">
        <v>1</v>
      </c>
      <c r="M27" s="58">
        <v>1</v>
      </c>
      <c r="N27" s="58">
        <v>0</v>
      </c>
      <c r="O27" s="58">
        <v>0</v>
      </c>
      <c r="P27" s="58">
        <v>0</v>
      </c>
      <c r="Q27" s="58">
        <v>1</v>
      </c>
      <c r="R27" s="58">
        <v>16</v>
      </c>
      <c r="S27" s="58">
        <v>0</v>
      </c>
      <c r="T27" s="58">
        <v>0</v>
      </c>
    </row>
    <row r="28" spans="1:20" s="93" customFormat="1" ht="13.5" customHeight="1">
      <c r="A28" s="538"/>
      <c r="B28" s="507" t="s">
        <v>535</v>
      </c>
      <c r="C28" s="234" t="s">
        <v>702</v>
      </c>
      <c r="D28" s="54">
        <f>SUM(D29:D30)</f>
        <v>65</v>
      </c>
      <c r="E28" s="55">
        <f aca="true" t="shared" si="8" ref="E28:T28">SUM(E29:E30)</f>
        <v>65</v>
      </c>
      <c r="F28" s="55">
        <f t="shared" si="8"/>
        <v>0</v>
      </c>
      <c r="G28" s="55">
        <f>SUM(G29:G30)/2</f>
        <v>30.5</v>
      </c>
      <c r="H28" s="55">
        <f t="shared" si="8"/>
        <v>0</v>
      </c>
      <c r="I28" s="55">
        <f t="shared" si="8"/>
        <v>1</v>
      </c>
      <c r="J28" s="55">
        <f t="shared" si="8"/>
        <v>34</v>
      </c>
      <c r="K28" s="55">
        <f t="shared" si="8"/>
        <v>15</v>
      </c>
      <c r="L28" s="55">
        <f t="shared" si="8"/>
        <v>6</v>
      </c>
      <c r="M28" s="55">
        <f t="shared" si="8"/>
        <v>7</v>
      </c>
      <c r="N28" s="55">
        <f t="shared" si="8"/>
        <v>2</v>
      </c>
      <c r="O28" s="55">
        <f t="shared" si="8"/>
        <v>0</v>
      </c>
      <c r="P28" s="55">
        <f t="shared" si="8"/>
        <v>0</v>
      </c>
      <c r="Q28" s="55">
        <f t="shared" si="8"/>
        <v>16</v>
      </c>
      <c r="R28" s="55">
        <f t="shared" si="8"/>
        <v>49</v>
      </c>
      <c r="S28" s="55">
        <f t="shared" si="8"/>
        <v>0</v>
      </c>
      <c r="T28" s="55">
        <f t="shared" si="8"/>
        <v>0</v>
      </c>
    </row>
    <row r="29" spans="1:21" s="93" customFormat="1" ht="13.5" customHeight="1">
      <c r="A29" s="538"/>
      <c r="B29" s="516"/>
      <c r="C29" s="124" t="s">
        <v>703</v>
      </c>
      <c r="D29" s="64">
        <v>34</v>
      </c>
      <c r="E29" s="49">
        <v>34</v>
      </c>
      <c r="F29" s="58">
        <v>0</v>
      </c>
      <c r="G29" s="49">
        <v>33</v>
      </c>
      <c r="H29" s="49">
        <v>0</v>
      </c>
      <c r="I29" s="49">
        <v>1</v>
      </c>
      <c r="J29" s="59">
        <v>10</v>
      </c>
      <c r="K29" s="58">
        <v>11</v>
      </c>
      <c r="L29" s="58">
        <v>4</v>
      </c>
      <c r="M29" s="58">
        <v>6</v>
      </c>
      <c r="N29" s="58">
        <v>2</v>
      </c>
      <c r="O29" s="58">
        <v>0</v>
      </c>
      <c r="P29" s="58">
        <v>0</v>
      </c>
      <c r="Q29" s="58">
        <v>9</v>
      </c>
      <c r="R29" s="58">
        <v>25</v>
      </c>
      <c r="S29" s="58">
        <v>0</v>
      </c>
      <c r="T29" s="58">
        <v>0</v>
      </c>
      <c r="U29" s="94"/>
    </row>
    <row r="30" spans="1:21" s="93" customFormat="1" ht="13.5" customHeight="1">
      <c r="A30" s="538"/>
      <c r="B30" s="517"/>
      <c r="C30" s="235" t="s">
        <v>704</v>
      </c>
      <c r="D30" s="64">
        <v>31</v>
      </c>
      <c r="E30" s="49">
        <v>31</v>
      </c>
      <c r="F30" s="58">
        <v>0</v>
      </c>
      <c r="G30" s="49">
        <v>28</v>
      </c>
      <c r="H30" s="49">
        <v>0</v>
      </c>
      <c r="I30" s="49">
        <v>0</v>
      </c>
      <c r="J30" s="59">
        <v>24</v>
      </c>
      <c r="K30" s="58">
        <v>4</v>
      </c>
      <c r="L30" s="58">
        <v>2</v>
      </c>
      <c r="M30" s="58">
        <v>1</v>
      </c>
      <c r="N30" s="58">
        <v>0</v>
      </c>
      <c r="O30" s="58">
        <v>0</v>
      </c>
      <c r="P30" s="58">
        <v>0</v>
      </c>
      <c r="Q30" s="58">
        <v>7</v>
      </c>
      <c r="R30" s="58">
        <v>24</v>
      </c>
      <c r="S30" s="58">
        <v>0</v>
      </c>
      <c r="T30" s="58">
        <v>0</v>
      </c>
      <c r="U30" s="94"/>
    </row>
    <row r="31" spans="1:20" s="93" customFormat="1" ht="13.5" customHeight="1">
      <c r="A31" s="538"/>
      <c r="B31" s="507" t="s">
        <v>536</v>
      </c>
      <c r="C31" s="234" t="s">
        <v>702</v>
      </c>
      <c r="D31" s="54">
        <f>SUM(D32:D33)</f>
        <v>15</v>
      </c>
      <c r="E31" s="55">
        <f aca="true" t="shared" si="9" ref="E31:T31">SUM(E32:E33)</f>
        <v>12</v>
      </c>
      <c r="F31" s="55">
        <f t="shared" si="9"/>
        <v>3</v>
      </c>
      <c r="G31" s="55">
        <f>SUM(G32:G33)/2</f>
        <v>30</v>
      </c>
      <c r="H31" s="55">
        <f t="shared" si="9"/>
        <v>0</v>
      </c>
      <c r="I31" s="55">
        <f t="shared" si="9"/>
        <v>0</v>
      </c>
      <c r="J31" s="55">
        <f t="shared" si="9"/>
        <v>4</v>
      </c>
      <c r="K31" s="55">
        <f t="shared" si="9"/>
        <v>7</v>
      </c>
      <c r="L31" s="55">
        <f t="shared" si="9"/>
        <v>4</v>
      </c>
      <c r="M31" s="55">
        <f t="shared" si="9"/>
        <v>0</v>
      </c>
      <c r="N31" s="55">
        <f t="shared" si="9"/>
        <v>0</v>
      </c>
      <c r="O31" s="55">
        <f t="shared" si="9"/>
        <v>0</v>
      </c>
      <c r="P31" s="55">
        <f t="shared" si="9"/>
        <v>0</v>
      </c>
      <c r="Q31" s="55">
        <f t="shared" si="9"/>
        <v>3</v>
      </c>
      <c r="R31" s="55">
        <f t="shared" si="9"/>
        <v>12</v>
      </c>
      <c r="S31" s="55">
        <f t="shared" si="9"/>
        <v>0</v>
      </c>
      <c r="T31" s="55">
        <f t="shared" si="9"/>
        <v>0</v>
      </c>
    </row>
    <row r="32" spans="1:21" s="93" customFormat="1" ht="13.5" customHeight="1">
      <c r="A32" s="538"/>
      <c r="B32" s="516"/>
      <c r="C32" s="124" t="s">
        <v>703</v>
      </c>
      <c r="D32" s="64">
        <v>11</v>
      </c>
      <c r="E32" s="49">
        <v>8</v>
      </c>
      <c r="F32" s="58">
        <v>3</v>
      </c>
      <c r="G32" s="49">
        <v>31</v>
      </c>
      <c r="H32" s="49">
        <v>0</v>
      </c>
      <c r="I32" s="49">
        <v>0</v>
      </c>
      <c r="J32" s="59">
        <v>2</v>
      </c>
      <c r="K32" s="58">
        <v>5</v>
      </c>
      <c r="L32" s="58">
        <v>4</v>
      </c>
      <c r="M32" s="58">
        <v>0</v>
      </c>
      <c r="N32" s="58">
        <v>0</v>
      </c>
      <c r="O32" s="58">
        <v>0</v>
      </c>
      <c r="P32" s="58">
        <v>0</v>
      </c>
      <c r="Q32" s="58">
        <v>3</v>
      </c>
      <c r="R32" s="58">
        <v>8</v>
      </c>
      <c r="S32" s="58">
        <v>0</v>
      </c>
      <c r="T32" s="62">
        <v>0</v>
      </c>
      <c r="U32" s="94"/>
    </row>
    <row r="33" spans="1:21" s="93" customFormat="1" ht="13.5" customHeight="1">
      <c r="A33" s="538"/>
      <c r="B33" s="517"/>
      <c r="C33" s="235" t="s">
        <v>704</v>
      </c>
      <c r="D33" s="64">
        <v>4</v>
      </c>
      <c r="E33" s="49">
        <v>4</v>
      </c>
      <c r="F33" s="58">
        <v>0</v>
      </c>
      <c r="G33" s="49">
        <v>29</v>
      </c>
      <c r="H33" s="49">
        <v>0</v>
      </c>
      <c r="I33" s="49">
        <v>0</v>
      </c>
      <c r="J33" s="59">
        <v>2</v>
      </c>
      <c r="K33" s="58">
        <v>2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4</v>
      </c>
      <c r="S33" s="58">
        <v>0</v>
      </c>
      <c r="T33" s="62">
        <v>0</v>
      </c>
      <c r="U33" s="94"/>
    </row>
    <row r="34" spans="1:20" s="85" customFormat="1" ht="13.5" customHeight="1">
      <c r="A34" s="538"/>
      <c r="B34" s="507" t="s">
        <v>537</v>
      </c>
      <c r="C34" s="234" t="s">
        <v>702</v>
      </c>
      <c r="D34" s="54">
        <f>SUM(D35:D36)</f>
        <v>11</v>
      </c>
      <c r="E34" s="55">
        <f aca="true" t="shared" si="10" ref="E34:T34">SUM(E35:E36)</f>
        <v>11</v>
      </c>
      <c r="F34" s="55">
        <f t="shared" si="10"/>
        <v>0</v>
      </c>
      <c r="G34" s="55">
        <f>SUM(G35:G36)/2</f>
        <v>29</v>
      </c>
      <c r="H34" s="55">
        <f t="shared" si="10"/>
        <v>0</v>
      </c>
      <c r="I34" s="55">
        <f t="shared" si="10"/>
        <v>0</v>
      </c>
      <c r="J34" s="55">
        <f t="shared" si="10"/>
        <v>4</v>
      </c>
      <c r="K34" s="55">
        <f t="shared" si="10"/>
        <v>7</v>
      </c>
      <c r="L34" s="55">
        <f t="shared" si="10"/>
        <v>0</v>
      </c>
      <c r="M34" s="55">
        <f t="shared" si="10"/>
        <v>0</v>
      </c>
      <c r="N34" s="55">
        <f t="shared" si="10"/>
        <v>0</v>
      </c>
      <c r="O34" s="55">
        <f t="shared" si="10"/>
        <v>0</v>
      </c>
      <c r="P34" s="55">
        <f t="shared" si="10"/>
        <v>0</v>
      </c>
      <c r="Q34" s="55">
        <f t="shared" si="10"/>
        <v>3</v>
      </c>
      <c r="R34" s="55">
        <f t="shared" si="10"/>
        <v>8</v>
      </c>
      <c r="S34" s="55">
        <f t="shared" si="10"/>
        <v>0</v>
      </c>
      <c r="T34" s="55">
        <f t="shared" si="10"/>
        <v>0</v>
      </c>
    </row>
    <row r="35" spans="1:20" s="85" customFormat="1" ht="13.5" customHeight="1">
      <c r="A35" s="538"/>
      <c r="B35" s="516"/>
      <c r="C35" s="124" t="s">
        <v>703</v>
      </c>
      <c r="D35" s="64">
        <v>5</v>
      </c>
      <c r="E35" s="49">
        <v>5</v>
      </c>
      <c r="F35" s="58">
        <v>0</v>
      </c>
      <c r="G35" s="49">
        <v>31</v>
      </c>
      <c r="H35" s="49">
        <v>0</v>
      </c>
      <c r="I35" s="49">
        <v>0</v>
      </c>
      <c r="J35" s="59">
        <v>0</v>
      </c>
      <c r="K35" s="58">
        <v>5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2</v>
      </c>
      <c r="R35" s="58">
        <v>3</v>
      </c>
      <c r="S35" s="58">
        <v>0</v>
      </c>
      <c r="T35" s="62">
        <v>0</v>
      </c>
    </row>
    <row r="36" spans="1:20" s="85" customFormat="1" ht="13.5" customHeight="1">
      <c r="A36" s="545"/>
      <c r="B36" s="516"/>
      <c r="C36" s="235" t="s">
        <v>704</v>
      </c>
      <c r="D36" s="64">
        <v>6</v>
      </c>
      <c r="E36" s="49">
        <v>6</v>
      </c>
      <c r="F36" s="58">
        <v>0</v>
      </c>
      <c r="G36" s="49">
        <v>27</v>
      </c>
      <c r="H36" s="49">
        <v>0</v>
      </c>
      <c r="I36" s="49">
        <v>0</v>
      </c>
      <c r="J36" s="59">
        <v>4</v>
      </c>
      <c r="K36" s="58">
        <v>2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5</v>
      </c>
      <c r="S36" s="58">
        <v>0</v>
      </c>
      <c r="T36" s="62">
        <v>0</v>
      </c>
    </row>
    <row r="37" spans="1:21" s="93" customFormat="1" ht="13.5" customHeight="1">
      <c r="A37" s="560" t="s">
        <v>125</v>
      </c>
      <c r="B37" s="536" t="s">
        <v>518</v>
      </c>
      <c r="C37" s="141" t="s">
        <v>687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94"/>
    </row>
    <row r="38" spans="1:21" s="93" customFormat="1" ht="13.5" customHeight="1">
      <c r="A38" s="561"/>
      <c r="B38" s="492"/>
      <c r="C38" s="143" t="s">
        <v>688</v>
      </c>
      <c r="D38" s="59">
        <v>0</v>
      </c>
      <c r="E38" s="59">
        <v>0</v>
      </c>
      <c r="F38" s="59">
        <v>0</v>
      </c>
      <c r="G38" s="59">
        <v>0</v>
      </c>
      <c r="H38" s="58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94"/>
    </row>
    <row r="39" spans="1:21" s="93" customFormat="1" ht="13.5" customHeight="1">
      <c r="A39" s="562"/>
      <c r="B39" s="493"/>
      <c r="C39" s="143" t="s">
        <v>689</v>
      </c>
      <c r="D39" s="59">
        <v>0</v>
      </c>
      <c r="E39" s="59">
        <v>0</v>
      </c>
      <c r="F39" s="59">
        <v>0</v>
      </c>
      <c r="G39" s="59">
        <v>0</v>
      </c>
      <c r="H39" s="58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94"/>
    </row>
    <row r="40" spans="1:20" s="85" customFormat="1" ht="13.5" customHeight="1">
      <c r="A40" s="541" t="s">
        <v>555</v>
      </c>
      <c r="B40" s="536" t="s">
        <v>518</v>
      </c>
      <c r="C40" s="141" t="s">
        <v>702</v>
      </c>
      <c r="D40" s="56">
        <f>SUM(D43,D46,'表32(續7)'!D7,'表32(續7)'!D10,'表32(續7)'!D13,'表32(續7)'!D16,'表32(續7)'!D19,'表32(續7)'!D22,'表32(續7)'!D25)</f>
        <v>1299</v>
      </c>
      <c r="E40" s="56">
        <f>SUM(E43,E46)+SUM('表32(續7)'!E7,'表32(續7)'!E10,'表32(續7)'!E13,'表32(續7)'!E16,'表32(續7)'!E19,'表32(續7)'!E22,'表32(續7)'!E25)</f>
        <v>1299</v>
      </c>
      <c r="F40" s="56">
        <f>SUM(F43,F46)+SUM('表32(續7)'!F7,'表32(續7)'!F10,'表32(續7)'!F13,'表32(續7)'!F16,'表32(續7)'!F19,'表32(續7)'!F22,'表32(續7)'!F25)</f>
        <v>0</v>
      </c>
      <c r="G40" s="56">
        <f>(SUM(G43,G46)+SUM('表32(續7)'!G7,'表32(續7)'!G10,'表32(續7)'!G13,'表32(續7)'!G16,'表32(續7)'!G19,'表32(續7)'!G22,'表32(續7)'!G25))/9</f>
        <v>30.5</v>
      </c>
      <c r="H40" s="56">
        <f>SUM(H43,H46)+SUM('表32(續7)'!H7,'表32(續7)'!H10,'表32(續7)'!H13,'表32(續7)'!H16,'表32(續7)'!H19,'表32(續7)'!H22,'表32(續7)'!H25)</f>
        <v>0</v>
      </c>
      <c r="I40" s="56">
        <f>SUM(I43,I46)+SUM('表32(續7)'!I7,'表32(續7)'!I10,'表32(續7)'!I13,'表32(續7)'!I16,'表32(續7)'!I19,'表32(續7)'!I22,'表32(續7)'!I25)</f>
        <v>120</v>
      </c>
      <c r="J40" s="56">
        <f>SUM(J43,J46)+SUM('表32(續7)'!J7,'表32(續7)'!J10,'表32(續7)'!J13,'表32(續7)'!J16,'表32(續7)'!J19,'表32(續7)'!J22,'表32(續7)'!J25)</f>
        <v>527</v>
      </c>
      <c r="K40" s="56">
        <f>SUM(K43,K46)+SUM('表32(續7)'!K7,'表32(續7)'!K10,'表32(續7)'!K13,'表32(續7)'!K16,'表32(續7)'!K19,'表32(續7)'!K22,'表32(續7)'!K25)</f>
        <v>387</v>
      </c>
      <c r="L40" s="56">
        <f>SUM(L43,L46)+SUM('表32(續7)'!L7,'表32(續7)'!L10,'表32(續7)'!L13,'表32(續7)'!L16,'表32(續7)'!L19,'表32(續7)'!L22,'表32(續7)'!L25)</f>
        <v>186</v>
      </c>
      <c r="M40" s="56">
        <f>SUM(M43,M46)+SUM('表32(續7)'!M7,'表32(續7)'!M10,'表32(續7)'!M13,'表32(續7)'!M16,'表32(續7)'!M19,'表32(續7)'!M22,'表32(續7)'!M25)</f>
        <v>65</v>
      </c>
      <c r="N40" s="56">
        <f>SUM(N43,N46)+SUM('表32(續7)'!N7,'表32(續7)'!N10,'表32(續7)'!N13,'表32(續7)'!N16,'表32(續7)'!N19,'表32(續7)'!N22,'表32(續7)'!N25)</f>
        <v>12</v>
      </c>
      <c r="O40" s="56">
        <f>SUM(O43,O46)+SUM('表32(續7)'!O7,'表32(續7)'!O10,'表32(續7)'!O13,'表32(續7)'!O16,'表32(續7)'!O19,'表32(續7)'!O22,'表32(續7)'!O25)</f>
        <v>1</v>
      </c>
      <c r="P40" s="56">
        <f>SUM(P43,P46)+SUM('表32(續7)'!P7,'表32(續7)'!P10,'表32(續7)'!P13,'表32(續7)'!P16,'表32(續7)'!P19,'表32(續7)'!P22,'表32(續7)'!P25)</f>
        <v>1</v>
      </c>
      <c r="Q40" s="56">
        <f>SUM(Q43,Q46)+SUM('表32(續7)'!Q7,'表32(續7)'!Q10,'表32(續7)'!Q13,'表32(續7)'!Q16,'表32(續7)'!Q19,'表32(續7)'!Q22,'表32(續7)'!Q25)</f>
        <v>68</v>
      </c>
      <c r="R40" s="56">
        <f>SUM(R43,R46)+SUM('表32(續7)'!R7,'表32(續7)'!R10,'表32(續7)'!R13,'表32(續7)'!R16,'表32(續7)'!R19,'表32(續7)'!R22,'表32(續7)'!R25)</f>
        <v>920</v>
      </c>
      <c r="S40" s="56">
        <f>SUM(S43,S46)+SUM('表32(續7)'!S7,'表32(續7)'!S10,'表32(續7)'!S13,'表32(續7)'!S16,'表32(續7)'!S19,'表32(續7)'!S22,'表32(續7)'!S25)</f>
        <v>24</v>
      </c>
      <c r="T40" s="56">
        <f>SUM(T43,T46)+SUM('表32(續7)'!T7,'表32(續7)'!T10,'表32(續7)'!T13,'表32(續7)'!T16,'表32(續7)'!T19,'表32(續7)'!T22,'表32(續7)'!T25)</f>
        <v>0</v>
      </c>
    </row>
    <row r="41" spans="1:20" s="85" customFormat="1" ht="13.5" customHeight="1">
      <c r="A41" s="542"/>
      <c r="B41" s="492"/>
      <c r="C41" s="143" t="s">
        <v>703</v>
      </c>
      <c r="D41" s="10">
        <f>SUM(D44,D47)+SUM('表32(續7)'!D8,'表32(續7)'!D11,'表32(續7)'!D14,'表32(續7)'!D17,'表32(續7)'!D20,'表32(續7)'!D23,'表32(續7)'!D26)</f>
        <v>304</v>
      </c>
      <c r="E41" s="10">
        <f>SUM(E44,E47)+SUM('表32(續7)'!E8,'表32(續7)'!E11,'表32(續7)'!E14,'表32(續7)'!E17,'表32(續7)'!E20,'表32(續7)'!E23,'表32(續7)'!E26)</f>
        <v>304</v>
      </c>
      <c r="F41" s="10">
        <f>SUM(F44,F47)+SUM('表32(續7)'!F8,'表32(續7)'!F11,'表32(續7)'!F14,'表32(續7)'!F17,'表32(續7)'!F20,'表32(續7)'!F23,'表32(續7)'!F26)</f>
        <v>0</v>
      </c>
      <c r="G41" s="10">
        <v>31</v>
      </c>
      <c r="H41" s="10">
        <f>SUM(H44,H47)+SUM('表32(續7)'!H8,'表32(續7)'!H11,'表32(續7)'!H14,'表32(續7)'!H17,'表32(續7)'!H20,'表32(續7)'!H23,'表32(續7)'!H26)</f>
        <v>0</v>
      </c>
      <c r="I41" s="10">
        <f>SUM(I44,I47)+SUM('表32(續7)'!I8,'表32(續7)'!I11,'表32(續7)'!I14,'表32(續7)'!I17,'表32(續7)'!I20,'表32(續7)'!I23,'表32(續7)'!I26)</f>
        <v>5</v>
      </c>
      <c r="J41" s="10">
        <f>SUM(J44,J47)+SUM('表32(續7)'!J8,'表32(續7)'!J11,'表32(續7)'!J14,'表32(續7)'!J17,'表32(續7)'!J20,'表32(續7)'!J23,'表32(續7)'!J26)</f>
        <v>129</v>
      </c>
      <c r="K41" s="10">
        <f>SUM(K44,K47)+SUM('表32(續7)'!K8,'表32(續7)'!K11,'表32(續7)'!K14,'表32(續7)'!K17,'表32(續7)'!K20,'表32(續7)'!K23,'表32(續7)'!K26)</f>
        <v>98</v>
      </c>
      <c r="L41" s="10">
        <f>SUM(L44,L47)+SUM('表32(續7)'!L8,'表32(續7)'!L11,'表32(續7)'!L14,'表32(續7)'!L17,'表32(續7)'!L20,'表32(續7)'!L23,'表32(續7)'!L26)</f>
        <v>51</v>
      </c>
      <c r="M41" s="10">
        <f>SUM(M44,M47)+SUM('表32(續7)'!M8,'表32(續7)'!M11,'表32(續7)'!M14,'表32(續7)'!M17,'表32(續7)'!M20,'表32(續7)'!M23,'表32(續7)'!M26)</f>
        <v>18</v>
      </c>
      <c r="N41" s="10">
        <f>SUM(N44,N47)+SUM('表32(續7)'!N8,'表32(續7)'!N11,'表32(續7)'!N14,'表32(續7)'!N17,'表32(續7)'!N20,'表32(續7)'!N23,'表32(續7)'!N26)</f>
        <v>2</v>
      </c>
      <c r="O41" s="10">
        <f>SUM(O44,O47)+SUM('表32(續7)'!O8,'表32(續7)'!O11,'表32(續7)'!O14,'表32(續7)'!O17,'表32(續7)'!O20,'表32(續7)'!O23,'表32(續7)'!O26)</f>
        <v>0</v>
      </c>
      <c r="P41" s="10">
        <f>SUM(P44,P47)+SUM('表32(續7)'!P8,'表32(續7)'!P11,'表32(續7)'!P14,'表32(續7)'!P17,'表32(續7)'!P20,'表32(續7)'!P23,'表32(續7)'!P26)</f>
        <v>1</v>
      </c>
      <c r="Q41" s="10">
        <f>SUM(Q44,Q47)+SUM('表32(續7)'!Q8,'表32(續7)'!Q11,'表32(續7)'!Q14,'表32(續7)'!Q17,'表32(續7)'!Q20,'表32(續7)'!Q23,'表32(續7)'!Q26)</f>
        <v>29</v>
      </c>
      <c r="R41" s="10">
        <f>SUM(R44,R47)+SUM('表32(續7)'!R8,'表32(續7)'!R11,'表32(續7)'!R14,'表32(續7)'!R17,'表32(續7)'!R20,'表32(續7)'!R23,'表32(續7)'!R26)</f>
        <v>199</v>
      </c>
      <c r="S41" s="10">
        <f>SUM(S44,S47)+SUM('表32(續7)'!S8,'表32(續7)'!S11,'表32(續7)'!S14,'表32(續7)'!S17,'表32(續7)'!S20,'表32(續7)'!S23,'表32(續7)'!S26)</f>
        <v>5</v>
      </c>
      <c r="T41" s="10">
        <f>SUM(T44,T47)+SUM('表32(續7)'!T8,'表32(續7)'!T11,'表32(續7)'!T14,'表32(續7)'!T17,'表32(續7)'!T20,'表32(續7)'!T23,'表32(續7)'!T26)</f>
        <v>0</v>
      </c>
    </row>
    <row r="42" spans="1:20" s="85" customFormat="1" ht="13.5" customHeight="1">
      <c r="A42" s="542"/>
      <c r="B42" s="493"/>
      <c r="C42" s="144" t="s">
        <v>704</v>
      </c>
      <c r="D42" s="10">
        <f>SUM(D45,D48)+SUM('表32(續7)'!D9,'表32(續7)'!D12,'表32(續7)'!D15,'表32(續7)'!D18,'表32(續7)'!D21,'表32(續7)'!D24,'表32(續7)'!D27)</f>
        <v>995</v>
      </c>
      <c r="E42" s="10">
        <f>SUM(E45,E48)+SUM('表32(續7)'!E9,'表32(續7)'!E12,'表32(續7)'!E15,'表32(續7)'!E18,'表32(續7)'!E21,'表32(續7)'!E24,'表32(續7)'!E27)</f>
        <v>995</v>
      </c>
      <c r="F42" s="10">
        <f>SUM(F45,F48)+SUM('表32(續7)'!F9,'表32(續7)'!F12,'表32(續7)'!F15,'表32(續7)'!F18,'表32(續7)'!F21,'表32(續7)'!F24,'表32(續7)'!F27)</f>
        <v>0</v>
      </c>
      <c r="G42" s="10">
        <f>(SUM(G45,G48)+SUM('表32(續7)'!G9,'表32(續7)'!G12,'表32(續7)'!G15,'表32(續7)'!G18,'表32(續7)'!G21,'表32(續7)'!G24,'表32(續7)'!G27))/9</f>
        <v>30.333333333333332</v>
      </c>
      <c r="H42" s="10">
        <f>SUM(H45,H48)+SUM('表32(續7)'!H9,'表32(續7)'!H12,'表32(續7)'!H15,'表32(續7)'!H18,'表32(續7)'!H21,'表32(續7)'!H24,'表32(續7)'!H27)</f>
        <v>0</v>
      </c>
      <c r="I42" s="10">
        <f>SUM(I45,I48)+SUM('表32(續7)'!I9,'表32(續7)'!I12,'表32(續7)'!I15,'表32(續7)'!I18,'表32(續7)'!I21,'表32(續7)'!I24,'表32(續7)'!I27)</f>
        <v>115</v>
      </c>
      <c r="J42" s="10">
        <f>SUM(J45,J48)+SUM('表32(續7)'!J9,'表32(續7)'!J12,'表32(續7)'!J15,'表32(續7)'!J18,'表32(續7)'!J21,'表32(續7)'!J24,'表32(續7)'!J27)</f>
        <v>398</v>
      </c>
      <c r="K42" s="10">
        <f>SUM(K45,K48)+SUM('表32(續7)'!K9,'表32(續7)'!K12,'表32(續7)'!K15,'表32(續7)'!K18,'表32(續7)'!K21,'表32(續7)'!K24,'表32(續7)'!K27)</f>
        <v>289</v>
      </c>
      <c r="L42" s="10">
        <f>SUM(L45,L48)+SUM('表32(續7)'!L9,'表32(續7)'!L12,'表32(續7)'!L15,'表32(續7)'!L18,'表32(續7)'!L21,'表32(續7)'!L24,'表32(續7)'!L27)</f>
        <v>135</v>
      </c>
      <c r="M42" s="10">
        <f>SUM(M45,M48)+SUM('表32(續7)'!M9,'表32(續7)'!M12,'表32(續7)'!M15,'表32(續7)'!M18,'表32(續7)'!M21,'表32(續7)'!M24,'表32(續7)'!M27)</f>
        <v>47</v>
      </c>
      <c r="N42" s="10">
        <f>SUM(N45,N48)+SUM('表32(續7)'!N9,'表32(續7)'!N12,'表32(續7)'!N15,'表32(續7)'!N18,'表32(續7)'!N21,'表32(續7)'!N24,'表32(續7)'!N27)</f>
        <v>10</v>
      </c>
      <c r="O42" s="10">
        <f>SUM(O45,O48)+SUM('表32(續7)'!O9,'表32(續7)'!O12,'表32(續7)'!O15,'表32(續7)'!O18,'表32(續7)'!O21,'表32(續7)'!O24,'表32(續7)'!O27)</f>
        <v>1</v>
      </c>
      <c r="P42" s="10">
        <f>SUM(P45,P48)+SUM('表32(續7)'!P9,'表32(續7)'!P12,'表32(續7)'!P15,'表32(續7)'!P18,'表32(續7)'!P21,'表32(續7)'!P24,'表32(續7)'!P27)</f>
        <v>0</v>
      </c>
      <c r="Q42" s="10">
        <f>SUM(Q45,Q48)+SUM('表32(續7)'!Q9,'表32(續7)'!Q12,'表32(續7)'!Q15,'表32(續7)'!Q18,'表32(續7)'!Q21,'表32(續7)'!Q24,'表32(續7)'!Q27)</f>
        <v>39</v>
      </c>
      <c r="R42" s="10">
        <f>SUM(R45,R48)+SUM('表32(續7)'!R9,'表32(續7)'!R12,'表32(續7)'!R15,'表32(續7)'!R18,'表32(續7)'!R21,'表32(續7)'!R24,'表32(續7)'!R27)</f>
        <v>721</v>
      </c>
      <c r="S42" s="10">
        <f>SUM(S45,S48)+SUM('表32(續7)'!S9,'表32(續7)'!S12,'表32(續7)'!S15,'表32(續7)'!S18,'表32(續7)'!S21,'表32(續7)'!S24,'表32(續7)'!S27)</f>
        <v>19</v>
      </c>
      <c r="T42" s="10">
        <f>SUM(T45,T48)+SUM('表32(續7)'!T9,'表32(續7)'!T12,'表32(續7)'!T15,'表32(續7)'!T18,'表32(續7)'!T21,'表32(續7)'!T24,'表32(續7)'!T27)</f>
        <v>0</v>
      </c>
    </row>
    <row r="43" spans="1:20" s="85" customFormat="1" ht="13.5" customHeight="1">
      <c r="A43" s="542"/>
      <c r="B43" s="491" t="s">
        <v>520</v>
      </c>
      <c r="C43" s="141" t="s">
        <v>702</v>
      </c>
      <c r="D43" s="55">
        <f>SUM(D44:D45)</f>
        <v>287</v>
      </c>
      <c r="E43" s="55">
        <f aca="true" t="shared" si="11" ref="E43:T43">SUM(E44:E45)</f>
        <v>287</v>
      </c>
      <c r="F43" s="55">
        <f t="shared" si="11"/>
        <v>0</v>
      </c>
      <c r="G43" s="55">
        <v>28</v>
      </c>
      <c r="H43" s="55">
        <f t="shared" si="11"/>
        <v>0</v>
      </c>
      <c r="I43" s="55">
        <f t="shared" si="11"/>
        <v>35</v>
      </c>
      <c r="J43" s="55">
        <f t="shared" si="11"/>
        <v>152</v>
      </c>
      <c r="K43" s="55">
        <f t="shared" si="11"/>
        <v>81</v>
      </c>
      <c r="L43" s="55">
        <f t="shared" si="11"/>
        <v>15</v>
      </c>
      <c r="M43" s="55">
        <f t="shared" si="11"/>
        <v>4</v>
      </c>
      <c r="N43" s="55">
        <f t="shared" si="11"/>
        <v>0</v>
      </c>
      <c r="O43" s="55">
        <f t="shared" si="11"/>
        <v>0</v>
      </c>
      <c r="P43" s="55">
        <f t="shared" si="11"/>
        <v>0</v>
      </c>
      <c r="Q43" s="55">
        <f t="shared" si="11"/>
        <v>0</v>
      </c>
      <c r="R43" s="55">
        <f t="shared" si="11"/>
        <v>0</v>
      </c>
      <c r="S43" s="55">
        <f t="shared" si="11"/>
        <v>0</v>
      </c>
      <c r="T43" s="55">
        <f t="shared" si="11"/>
        <v>0</v>
      </c>
    </row>
    <row r="44" spans="1:20" s="85" customFormat="1" ht="13.5" customHeight="1">
      <c r="A44" s="546"/>
      <c r="B44" s="492"/>
      <c r="C44" s="143" t="s">
        <v>703</v>
      </c>
      <c r="D44" s="49">
        <v>71</v>
      </c>
      <c r="E44" s="49">
        <v>71</v>
      </c>
      <c r="F44" s="59">
        <v>0</v>
      </c>
      <c r="G44" s="58">
        <v>29</v>
      </c>
      <c r="H44" s="58">
        <v>0</v>
      </c>
      <c r="I44" s="58">
        <v>1</v>
      </c>
      <c r="J44" s="58">
        <v>39</v>
      </c>
      <c r="K44" s="58">
        <v>27</v>
      </c>
      <c r="L44" s="58">
        <v>3</v>
      </c>
      <c r="M44" s="58">
        <v>1</v>
      </c>
      <c r="N44" s="58">
        <v>0</v>
      </c>
      <c r="O44" s="58">
        <v>0</v>
      </c>
      <c r="P44" s="59">
        <v>0</v>
      </c>
      <c r="Q44" s="59">
        <v>0</v>
      </c>
      <c r="R44" s="59">
        <v>0</v>
      </c>
      <c r="S44" s="59">
        <v>0</v>
      </c>
      <c r="T44" s="49">
        <v>0</v>
      </c>
    </row>
    <row r="45" spans="1:20" s="85" customFormat="1" ht="13.5" customHeight="1">
      <c r="A45" s="538" t="s">
        <v>556</v>
      </c>
      <c r="B45" s="493"/>
      <c r="C45" s="144" t="s">
        <v>704</v>
      </c>
      <c r="D45" s="49">
        <v>216</v>
      </c>
      <c r="E45" s="49">
        <v>216</v>
      </c>
      <c r="F45" s="59">
        <v>0</v>
      </c>
      <c r="G45" s="58">
        <v>28</v>
      </c>
      <c r="H45" s="58">
        <v>0</v>
      </c>
      <c r="I45" s="58">
        <v>34</v>
      </c>
      <c r="J45" s="58">
        <v>113</v>
      </c>
      <c r="K45" s="58">
        <v>54</v>
      </c>
      <c r="L45" s="58">
        <v>12</v>
      </c>
      <c r="M45" s="58">
        <v>3</v>
      </c>
      <c r="N45" s="58">
        <v>0</v>
      </c>
      <c r="O45" s="58">
        <v>0</v>
      </c>
      <c r="P45" s="59">
        <v>0</v>
      </c>
      <c r="Q45" s="59">
        <v>0</v>
      </c>
      <c r="R45" s="59">
        <v>0</v>
      </c>
      <c r="S45" s="59">
        <v>0</v>
      </c>
      <c r="T45" s="49">
        <v>0</v>
      </c>
    </row>
    <row r="46" spans="1:20" s="93" customFormat="1" ht="13.5" customHeight="1">
      <c r="A46" s="538"/>
      <c r="B46" s="507" t="s">
        <v>521</v>
      </c>
      <c r="C46" s="141" t="s">
        <v>126</v>
      </c>
      <c r="D46" s="55">
        <f>SUM(D47:D48)</f>
        <v>2</v>
      </c>
      <c r="E46" s="55">
        <f aca="true" t="shared" si="12" ref="E46:T46">SUM(E47:E48)</f>
        <v>2</v>
      </c>
      <c r="F46" s="55">
        <f t="shared" si="12"/>
        <v>0</v>
      </c>
      <c r="G46" s="55">
        <f t="shared" si="12"/>
        <v>29</v>
      </c>
      <c r="H46" s="55">
        <f t="shared" si="12"/>
        <v>0</v>
      </c>
      <c r="I46" s="55">
        <f t="shared" si="12"/>
        <v>0</v>
      </c>
      <c r="J46" s="55">
        <f t="shared" si="12"/>
        <v>1</v>
      </c>
      <c r="K46" s="55">
        <f t="shared" si="12"/>
        <v>1</v>
      </c>
      <c r="L46" s="55">
        <f t="shared" si="12"/>
        <v>0</v>
      </c>
      <c r="M46" s="55">
        <f t="shared" si="12"/>
        <v>0</v>
      </c>
      <c r="N46" s="55">
        <f t="shared" si="12"/>
        <v>0</v>
      </c>
      <c r="O46" s="55">
        <f t="shared" si="12"/>
        <v>0</v>
      </c>
      <c r="P46" s="55">
        <f t="shared" si="12"/>
        <v>0</v>
      </c>
      <c r="Q46" s="55">
        <f t="shared" si="12"/>
        <v>0</v>
      </c>
      <c r="R46" s="55">
        <f t="shared" si="12"/>
        <v>2</v>
      </c>
      <c r="S46" s="55">
        <f t="shared" si="12"/>
        <v>0</v>
      </c>
      <c r="T46" s="55">
        <f t="shared" si="12"/>
        <v>0</v>
      </c>
    </row>
    <row r="47" spans="1:20" s="93" customFormat="1" ht="13.5" customHeight="1">
      <c r="A47" s="538"/>
      <c r="B47" s="516"/>
      <c r="C47" s="143" t="s">
        <v>127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49">
        <v>0</v>
      </c>
    </row>
    <row r="48" spans="1:20" s="93" customFormat="1" ht="13.5" customHeight="1">
      <c r="A48" s="538"/>
      <c r="B48" s="517"/>
      <c r="C48" s="143" t="s">
        <v>128</v>
      </c>
      <c r="D48" s="10">
        <v>2</v>
      </c>
      <c r="E48" s="10">
        <v>2</v>
      </c>
      <c r="F48" s="10">
        <v>0</v>
      </c>
      <c r="G48" s="10">
        <v>29</v>
      </c>
      <c r="H48" s="10">
        <v>0</v>
      </c>
      <c r="I48" s="10">
        <v>0</v>
      </c>
      <c r="J48" s="10">
        <v>1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2</v>
      </c>
      <c r="S48" s="10">
        <v>0</v>
      </c>
      <c r="T48" s="49">
        <v>0</v>
      </c>
    </row>
    <row r="49" s="93" customFormat="1" ht="13.5" customHeight="1"/>
    <row r="50" s="93" customFormat="1" ht="13.5" customHeight="1">
      <c r="A50" s="268"/>
    </row>
    <row r="51" s="93" customFormat="1" ht="13.5" customHeight="1">
      <c r="A51" s="268"/>
    </row>
    <row r="52" spans="1:3" ht="15.75">
      <c r="A52" s="89"/>
      <c r="B52" s="89"/>
      <c r="C52" s="89"/>
    </row>
    <row r="53" spans="1:20" ht="15.75">
      <c r="A53" s="535" t="str">
        <f>"- "&amp;Sheet1!N33&amp;" -"</f>
        <v>- 206 -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 t="str">
        <f>"- "&amp;Sheet1!O33&amp;" -"</f>
        <v>- 207 -</v>
      </c>
      <c r="L53" s="535"/>
      <c r="M53" s="535"/>
      <c r="N53" s="535"/>
      <c r="O53" s="535"/>
      <c r="P53" s="535"/>
      <c r="Q53" s="535"/>
      <c r="R53" s="535"/>
      <c r="S53" s="535"/>
      <c r="T53" s="535"/>
    </row>
    <row r="54" ht="15.75">
      <c r="A54" s="268"/>
    </row>
    <row r="55" ht="15.75">
      <c r="A55" s="268"/>
    </row>
    <row r="56" ht="15.75">
      <c r="A56" s="268"/>
    </row>
    <row r="57" ht="15.75">
      <c r="A57" s="268"/>
    </row>
    <row r="61" spans="1:20" ht="15.75">
      <c r="A61" s="63"/>
      <c r="B61" s="63"/>
      <c r="C61" s="63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15.75">
      <c r="A62" s="63"/>
      <c r="B62" s="63"/>
      <c r="C62" s="63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</sheetData>
  <sheetProtection/>
  <mergeCells count="33">
    <mergeCell ref="B34:B36"/>
    <mergeCell ref="K1:T1"/>
    <mergeCell ref="A5:C6"/>
    <mergeCell ref="D5:D6"/>
    <mergeCell ref="Q5:T5"/>
    <mergeCell ref="C3:I3"/>
    <mergeCell ref="F5:F6"/>
    <mergeCell ref="K5:P5"/>
    <mergeCell ref="A1:J1"/>
    <mergeCell ref="H5:J5"/>
    <mergeCell ref="E5:E6"/>
    <mergeCell ref="L3:S3"/>
    <mergeCell ref="G5:G6"/>
    <mergeCell ref="B7:B9"/>
    <mergeCell ref="B37:B39"/>
    <mergeCell ref="A7:A21"/>
    <mergeCell ref="B19:B21"/>
    <mergeCell ref="B16:B18"/>
    <mergeCell ref="B10:B12"/>
    <mergeCell ref="B13:B15"/>
    <mergeCell ref="A37:A39"/>
    <mergeCell ref="B25:B27"/>
    <mergeCell ref="B28:B30"/>
    <mergeCell ref="A22:A36"/>
    <mergeCell ref="K53:T53"/>
    <mergeCell ref="A40:A44"/>
    <mergeCell ref="B40:B42"/>
    <mergeCell ref="B46:B48"/>
    <mergeCell ref="B43:B45"/>
    <mergeCell ref="A45:A48"/>
    <mergeCell ref="A53:J53"/>
    <mergeCell ref="B22:B24"/>
    <mergeCell ref="B31:B33"/>
  </mergeCells>
  <printOptions/>
  <pageMargins left="0.6299212598425197" right="0.3937007874015748" top="0.5511811023622047" bottom="0.012254901960784314" header="0.5118110236220472" footer="0.708661417322834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S65"/>
  <sheetViews>
    <sheetView view="pageLayout" zoomScaleSheetLayoutView="85" workbookViewId="0" topLeftCell="A34">
      <selection activeCell="A53" sqref="A53:J53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1" width="8.75390625" style="89" customWidth="1"/>
    <col min="12" max="12" width="9.00390625" style="89" customWidth="1"/>
    <col min="13" max="14" width="8.625" style="89" customWidth="1"/>
    <col min="15" max="16" width="8.75390625" style="89" customWidth="1"/>
    <col min="17" max="17" width="8.875" style="89" customWidth="1"/>
    <col min="18" max="19" width="9.87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557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217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698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695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710</v>
      </c>
      <c r="E5" s="507" t="s">
        <v>705</v>
      </c>
      <c r="F5" s="507" t="s">
        <v>706</v>
      </c>
      <c r="G5" s="507" t="s">
        <v>707</v>
      </c>
      <c r="H5" s="495" t="s">
        <v>699</v>
      </c>
      <c r="I5" s="496"/>
      <c r="J5" s="496"/>
      <c r="K5" s="496" t="s">
        <v>667</v>
      </c>
      <c r="L5" s="496"/>
      <c r="M5" s="496"/>
      <c r="N5" s="496"/>
      <c r="O5" s="496"/>
      <c r="P5" s="514"/>
      <c r="Q5" s="495" t="s">
        <v>709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20" t="s">
        <v>711</v>
      </c>
    </row>
    <row r="7" spans="1:45" s="93" customFormat="1" ht="13.5" customHeight="1">
      <c r="A7" s="541" t="s">
        <v>555</v>
      </c>
      <c r="B7" s="491" t="s">
        <v>522</v>
      </c>
      <c r="C7" s="234" t="s">
        <v>702</v>
      </c>
      <c r="D7" s="54">
        <v>6</v>
      </c>
      <c r="E7" s="56">
        <f>SUM(E8:E9)</f>
        <v>6</v>
      </c>
      <c r="F7" s="56">
        <f>SUM(F8:F9)</f>
        <v>0</v>
      </c>
      <c r="G7" s="56">
        <f>SUM(G8:G9)/2</f>
        <v>34</v>
      </c>
      <c r="H7" s="56">
        <f aca="true" t="shared" si="0" ref="H7:T7">SUM(H8:H9)</f>
        <v>0</v>
      </c>
      <c r="I7" s="56">
        <f t="shared" si="0"/>
        <v>0</v>
      </c>
      <c r="J7" s="56">
        <f t="shared" si="0"/>
        <v>2</v>
      </c>
      <c r="K7" s="56">
        <f t="shared" si="0"/>
        <v>1</v>
      </c>
      <c r="L7" s="56">
        <f t="shared" si="0"/>
        <v>2</v>
      </c>
      <c r="M7" s="56">
        <f t="shared" si="0"/>
        <v>0</v>
      </c>
      <c r="N7" s="56">
        <f t="shared" si="0"/>
        <v>1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6</v>
      </c>
      <c r="S7" s="56">
        <f t="shared" si="0"/>
        <v>0</v>
      </c>
      <c r="T7" s="55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492"/>
      <c r="C8" s="124" t="s">
        <v>703</v>
      </c>
      <c r="D8" s="24">
        <v>2</v>
      </c>
      <c r="E8" s="10">
        <v>2</v>
      </c>
      <c r="F8" s="10">
        <v>0</v>
      </c>
      <c r="G8" s="10">
        <v>35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2</v>
      </c>
      <c r="S8" s="10">
        <v>0</v>
      </c>
      <c r="T8" s="49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493"/>
      <c r="C9" s="143" t="s">
        <v>704</v>
      </c>
      <c r="D9" s="24">
        <v>4</v>
      </c>
      <c r="E9" s="10">
        <v>4</v>
      </c>
      <c r="F9" s="10">
        <v>0</v>
      </c>
      <c r="G9" s="10">
        <v>33</v>
      </c>
      <c r="H9" s="10">
        <v>0</v>
      </c>
      <c r="I9" s="10">
        <v>0</v>
      </c>
      <c r="J9" s="10">
        <v>2</v>
      </c>
      <c r="K9" s="10">
        <v>1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4</v>
      </c>
      <c r="S9" s="10">
        <v>0</v>
      </c>
      <c r="T9" s="49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542"/>
      <c r="B10" s="491" t="s">
        <v>532</v>
      </c>
      <c r="C10" s="234" t="s">
        <v>702</v>
      </c>
      <c r="D10" s="54">
        <f>SUM(D11:D12)</f>
        <v>240</v>
      </c>
      <c r="E10" s="55">
        <f aca="true" t="shared" si="1" ref="E10:T10">SUM(E11:E12)</f>
        <v>240</v>
      </c>
      <c r="F10" s="55">
        <f t="shared" si="1"/>
        <v>0</v>
      </c>
      <c r="G10" s="55">
        <v>30</v>
      </c>
      <c r="H10" s="55">
        <f t="shared" si="1"/>
        <v>0</v>
      </c>
      <c r="I10" s="55">
        <f t="shared" si="1"/>
        <v>12</v>
      </c>
      <c r="J10" s="55">
        <f t="shared" si="1"/>
        <v>98</v>
      </c>
      <c r="K10" s="55">
        <f t="shared" si="1"/>
        <v>84</v>
      </c>
      <c r="L10" s="55">
        <f t="shared" si="1"/>
        <v>33</v>
      </c>
      <c r="M10" s="55">
        <f t="shared" si="1"/>
        <v>12</v>
      </c>
      <c r="N10" s="55">
        <f t="shared" si="1"/>
        <v>1</v>
      </c>
      <c r="O10" s="55">
        <f t="shared" si="1"/>
        <v>0</v>
      </c>
      <c r="P10" s="55">
        <f t="shared" si="1"/>
        <v>0</v>
      </c>
      <c r="Q10" s="55">
        <f t="shared" si="1"/>
        <v>19</v>
      </c>
      <c r="R10" s="55">
        <f t="shared" si="1"/>
        <v>213</v>
      </c>
      <c r="S10" s="55">
        <f t="shared" si="1"/>
        <v>8</v>
      </c>
      <c r="T10" s="55">
        <f t="shared" si="1"/>
        <v>0</v>
      </c>
    </row>
    <row r="11" spans="1:20" s="93" customFormat="1" ht="13.5" customHeight="1">
      <c r="A11" s="542"/>
      <c r="B11" s="492"/>
      <c r="C11" s="124" t="s">
        <v>703</v>
      </c>
      <c r="D11" s="24">
        <v>80</v>
      </c>
      <c r="E11" s="10">
        <v>80</v>
      </c>
      <c r="F11" s="10">
        <v>0</v>
      </c>
      <c r="G11" s="10">
        <v>31</v>
      </c>
      <c r="H11" s="10">
        <v>0</v>
      </c>
      <c r="I11" s="10">
        <v>0</v>
      </c>
      <c r="J11" s="10">
        <v>28</v>
      </c>
      <c r="K11" s="10">
        <v>32</v>
      </c>
      <c r="L11" s="10">
        <v>14</v>
      </c>
      <c r="M11" s="10">
        <v>5</v>
      </c>
      <c r="N11" s="10">
        <v>1</v>
      </c>
      <c r="O11" s="10">
        <v>0</v>
      </c>
      <c r="P11" s="10">
        <v>0</v>
      </c>
      <c r="Q11" s="10">
        <v>10</v>
      </c>
      <c r="R11" s="10">
        <v>66</v>
      </c>
      <c r="S11" s="10">
        <v>4</v>
      </c>
      <c r="T11" s="10">
        <v>0</v>
      </c>
    </row>
    <row r="12" spans="1:20" s="93" customFormat="1" ht="13.5" customHeight="1">
      <c r="A12" s="542"/>
      <c r="B12" s="493"/>
      <c r="C12" s="235" t="s">
        <v>704</v>
      </c>
      <c r="D12" s="24">
        <v>160</v>
      </c>
      <c r="E12" s="10">
        <v>160</v>
      </c>
      <c r="F12" s="10">
        <v>0</v>
      </c>
      <c r="G12" s="10">
        <v>30</v>
      </c>
      <c r="H12" s="10">
        <v>0</v>
      </c>
      <c r="I12" s="10">
        <v>12</v>
      </c>
      <c r="J12" s="10">
        <v>70</v>
      </c>
      <c r="K12" s="10">
        <v>52</v>
      </c>
      <c r="L12" s="10">
        <v>19</v>
      </c>
      <c r="M12" s="10">
        <v>7</v>
      </c>
      <c r="N12" s="10">
        <v>0</v>
      </c>
      <c r="O12" s="10">
        <v>0</v>
      </c>
      <c r="P12" s="10">
        <v>0</v>
      </c>
      <c r="Q12" s="10">
        <v>9</v>
      </c>
      <c r="R12" s="10">
        <v>147</v>
      </c>
      <c r="S12" s="10">
        <v>4</v>
      </c>
      <c r="T12" s="10">
        <v>0</v>
      </c>
    </row>
    <row r="13" spans="1:20" s="93" customFormat="1" ht="13.5" customHeight="1">
      <c r="A13" s="542"/>
      <c r="B13" s="491" t="s">
        <v>533</v>
      </c>
      <c r="C13" s="234" t="s">
        <v>702</v>
      </c>
      <c r="D13" s="54">
        <f>SUM(D14:D15)</f>
        <v>270</v>
      </c>
      <c r="E13" s="55">
        <f aca="true" t="shared" si="2" ref="E13:T13">SUM(E14:E15)</f>
        <v>270</v>
      </c>
      <c r="F13" s="55">
        <f t="shared" si="2"/>
        <v>0</v>
      </c>
      <c r="G13" s="55">
        <v>30</v>
      </c>
      <c r="H13" s="55">
        <f t="shared" si="2"/>
        <v>0</v>
      </c>
      <c r="I13" s="55">
        <f t="shared" si="2"/>
        <v>18</v>
      </c>
      <c r="J13" s="55">
        <f t="shared" si="2"/>
        <v>113</v>
      </c>
      <c r="K13" s="55">
        <f t="shared" si="2"/>
        <v>75</v>
      </c>
      <c r="L13" s="55">
        <f t="shared" si="2"/>
        <v>45</v>
      </c>
      <c r="M13" s="55">
        <f t="shared" si="2"/>
        <v>17</v>
      </c>
      <c r="N13" s="55">
        <f t="shared" si="2"/>
        <v>2</v>
      </c>
      <c r="O13" s="55">
        <f t="shared" si="2"/>
        <v>0</v>
      </c>
      <c r="P13" s="55">
        <f t="shared" si="2"/>
        <v>0</v>
      </c>
      <c r="Q13" s="55">
        <f t="shared" si="2"/>
        <v>5</v>
      </c>
      <c r="R13" s="55">
        <f t="shared" si="2"/>
        <v>258</v>
      </c>
      <c r="S13" s="55">
        <f t="shared" si="2"/>
        <v>7</v>
      </c>
      <c r="T13" s="55">
        <f t="shared" si="2"/>
        <v>0</v>
      </c>
    </row>
    <row r="14" spans="1:20" s="93" customFormat="1" ht="13.5" customHeight="1">
      <c r="A14" s="542"/>
      <c r="B14" s="492"/>
      <c r="C14" s="124" t="s">
        <v>703</v>
      </c>
      <c r="D14" s="24">
        <v>48</v>
      </c>
      <c r="E14" s="10">
        <v>48</v>
      </c>
      <c r="F14" s="10">
        <v>0</v>
      </c>
      <c r="G14" s="10">
        <v>31</v>
      </c>
      <c r="H14" s="10">
        <v>0</v>
      </c>
      <c r="I14" s="10">
        <v>1</v>
      </c>
      <c r="J14" s="10">
        <v>21</v>
      </c>
      <c r="K14" s="10">
        <v>9</v>
      </c>
      <c r="L14" s="10">
        <v>13</v>
      </c>
      <c r="M14" s="10">
        <v>4</v>
      </c>
      <c r="N14" s="10">
        <v>0</v>
      </c>
      <c r="O14" s="10">
        <v>0</v>
      </c>
      <c r="P14" s="10">
        <v>0</v>
      </c>
      <c r="Q14" s="10">
        <v>3</v>
      </c>
      <c r="R14" s="10">
        <v>44</v>
      </c>
      <c r="S14" s="10">
        <v>1</v>
      </c>
      <c r="T14" s="10">
        <v>0</v>
      </c>
    </row>
    <row r="15" spans="1:20" s="93" customFormat="1" ht="13.5" customHeight="1">
      <c r="A15" s="542"/>
      <c r="B15" s="493"/>
      <c r="C15" s="124" t="s">
        <v>704</v>
      </c>
      <c r="D15" s="24">
        <v>222</v>
      </c>
      <c r="E15" s="10">
        <v>222</v>
      </c>
      <c r="F15" s="10">
        <v>0</v>
      </c>
      <c r="G15" s="10">
        <v>30</v>
      </c>
      <c r="H15" s="10">
        <v>0</v>
      </c>
      <c r="I15" s="10">
        <v>17</v>
      </c>
      <c r="J15" s="10">
        <v>92</v>
      </c>
      <c r="K15" s="10">
        <v>66</v>
      </c>
      <c r="L15" s="10">
        <v>32</v>
      </c>
      <c r="M15" s="10">
        <v>13</v>
      </c>
      <c r="N15" s="10">
        <v>2</v>
      </c>
      <c r="O15" s="10">
        <v>0</v>
      </c>
      <c r="P15" s="10">
        <v>0</v>
      </c>
      <c r="Q15" s="10">
        <v>2</v>
      </c>
      <c r="R15" s="10">
        <v>214</v>
      </c>
      <c r="S15" s="10">
        <v>6</v>
      </c>
      <c r="T15" s="10">
        <v>0</v>
      </c>
    </row>
    <row r="16" spans="1:20" s="93" customFormat="1" ht="13.5" customHeight="1">
      <c r="A16" s="542"/>
      <c r="B16" s="491" t="s">
        <v>534</v>
      </c>
      <c r="C16" s="234" t="s">
        <v>702</v>
      </c>
      <c r="D16" s="54">
        <f>SUM(D17:D18)</f>
        <v>122</v>
      </c>
      <c r="E16" s="55">
        <f aca="true" t="shared" si="3" ref="E16:T16">SUM(E17:E18)</f>
        <v>122</v>
      </c>
      <c r="F16" s="55">
        <f t="shared" si="3"/>
        <v>0</v>
      </c>
      <c r="G16" s="55">
        <f>SUM(G17:G18)/2</f>
        <v>31.5</v>
      </c>
      <c r="H16" s="55">
        <f t="shared" si="3"/>
        <v>0</v>
      </c>
      <c r="I16" s="55">
        <f t="shared" si="3"/>
        <v>0</v>
      </c>
      <c r="J16" s="55">
        <f t="shared" si="3"/>
        <v>45</v>
      </c>
      <c r="K16" s="55">
        <f t="shared" si="3"/>
        <v>38</v>
      </c>
      <c r="L16" s="55">
        <f t="shared" si="3"/>
        <v>25</v>
      </c>
      <c r="M16" s="55">
        <f t="shared" si="3"/>
        <v>13</v>
      </c>
      <c r="N16" s="55">
        <f t="shared" si="3"/>
        <v>1</v>
      </c>
      <c r="O16" s="55">
        <f t="shared" si="3"/>
        <v>0</v>
      </c>
      <c r="P16" s="55">
        <f t="shared" si="3"/>
        <v>0</v>
      </c>
      <c r="Q16" s="55">
        <f t="shared" si="3"/>
        <v>2</v>
      </c>
      <c r="R16" s="55">
        <f t="shared" si="3"/>
        <v>119</v>
      </c>
      <c r="S16" s="55">
        <f t="shared" si="3"/>
        <v>1</v>
      </c>
      <c r="T16" s="55">
        <f t="shared" si="3"/>
        <v>0</v>
      </c>
    </row>
    <row r="17" spans="1:21" s="93" customFormat="1" ht="13.5" customHeight="1">
      <c r="A17" s="542"/>
      <c r="B17" s="492"/>
      <c r="C17" s="124" t="s">
        <v>703</v>
      </c>
      <c r="D17" s="24">
        <v>27</v>
      </c>
      <c r="E17" s="10">
        <v>27</v>
      </c>
      <c r="F17" s="10">
        <v>0</v>
      </c>
      <c r="G17" s="10">
        <v>31</v>
      </c>
      <c r="H17" s="10">
        <v>0</v>
      </c>
      <c r="I17" s="10">
        <v>0</v>
      </c>
      <c r="J17" s="10">
        <v>12</v>
      </c>
      <c r="K17" s="10">
        <v>9</v>
      </c>
      <c r="L17" s="10">
        <v>4</v>
      </c>
      <c r="M17" s="10">
        <v>2</v>
      </c>
      <c r="N17" s="10">
        <v>0</v>
      </c>
      <c r="O17" s="10">
        <v>0</v>
      </c>
      <c r="P17" s="10">
        <v>0</v>
      </c>
      <c r="Q17" s="10">
        <v>1</v>
      </c>
      <c r="R17" s="10">
        <v>26</v>
      </c>
      <c r="S17" s="10">
        <v>0</v>
      </c>
      <c r="T17" s="10">
        <v>0</v>
      </c>
      <c r="U17" s="94"/>
    </row>
    <row r="18" spans="1:21" s="93" customFormat="1" ht="13.5" customHeight="1">
      <c r="A18" s="542"/>
      <c r="B18" s="493"/>
      <c r="C18" s="235" t="s">
        <v>704</v>
      </c>
      <c r="D18" s="24">
        <v>95</v>
      </c>
      <c r="E18" s="10">
        <v>95</v>
      </c>
      <c r="F18" s="10">
        <v>0</v>
      </c>
      <c r="G18" s="10">
        <v>32</v>
      </c>
      <c r="H18" s="10">
        <v>0</v>
      </c>
      <c r="I18" s="10">
        <v>0</v>
      </c>
      <c r="J18" s="10">
        <v>33</v>
      </c>
      <c r="K18" s="10">
        <v>29</v>
      </c>
      <c r="L18" s="10">
        <v>21</v>
      </c>
      <c r="M18" s="10">
        <v>11</v>
      </c>
      <c r="N18" s="10">
        <v>1</v>
      </c>
      <c r="O18" s="10">
        <v>0</v>
      </c>
      <c r="P18" s="10">
        <v>0</v>
      </c>
      <c r="Q18" s="10">
        <v>1</v>
      </c>
      <c r="R18" s="10">
        <v>93</v>
      </c>
      <c r="S18" s="10">
        <v>1</v>
      </c>
      <c r="T18" s="10">
        <v>0</v>
      </c>
      <c r="U18" s="94"/>
    </row>
    <row r="19" spans="1:20" s="93" customFormat="1" ht="13.5" customHeight="1">
      <c r="A19" s="538" t="s">
        <v>556</v>
      </c>
      <c r="B19" s="491" t="s">
        <v>535</v>
      </c>
      <c r="C19" s="234" t="s">
        <v>702</v>
      </c>
      <c r="D19" s="54">
        <f>SUM(D20:D21)</f>
        <v>160</v>
      </c>
      <c r="E19" s="55">
        <f aca="true" t="shared" si="4" ref="E19:T19">SUM(E20:E21)</f>
        <v>160</v>
      </c>
      <c r="F19" s="55">
        <f t="shared" si="4"/>
        <v>0</v>
      </c>
      <c r="G19" s="55">
        <v>30</v>
      </c>
      <c r="H19" s="55">
        <f t="shared" si="4"/>
        <v>0</v>
      </c>
      <c r="I19" s="55">
        <f t="shared" si="4"/>
        <v>23</v>
      </c>
      <c r="J19" s="55">
        <f t="shared" si="4"/>
        <v>50</v>
      </c>
      <c r="K19" s="55">
        <f t="shared" si="4"/>
        <v>41</v>
      </c>
      <c r="L19" s="55">
        <f t="shared" si="4"/>
        <v>32</v>
      </c>
      <c r="M19" s="55">
        <f t="shared" si="4"/>
        <v>9</v>
      </c>
      <c r="N19" s="55">
        <f t="shared" si="4"/>
        <v>4</v>
      </c>
      <c r="O19" s="55">
        <f t="shared" si="4"/>
        <v>1</v>
      </c>
      <c r="P19" s="55">
        <f t="shared" si="4"/>
        <v>0</v>
      </c>
      <c r="Q19" s="55">
        <f t="shared" si="4"/>
        <v>18</v>
      </c>
      <c r="R19" s="55">
        <f t="shared" si="4"/>
        <v>140</v>
      </c>
      <c r="S19" s="55">
        <f t="shared" si="4"/>
        <v>2</v>
      </c>
      <c r="T19" s="55">
        <f t="shared" si="4"/>
        <v>0</v>
      </c>
    </row>
    <row r="20" spans="1:21" s="93" customFormat="1" ht="13.5" customHeight="1">
      <c r="A20" s="538"/>
      <c r="B20" s="492"/>
      <c r="C20" s="124" t="s">
        <v>703</v>
      </c>
      <c r="D20" s="64">
        <v>34</v>
      </c>
      <c r="E20" s="49">
        <v>34</v>
      </c>
      <c r="F20" s="58">
        <v>0</v>
      </c>
      <c r="G20" s="49">
        <v>31</v>
      </c>
      <c r="H20" s="49">
        <v>0</v>
      </c>
      <c r="I20" s="49">
        <v>2</v>
      </c>
      <c r="J20" s="59">
        <v>15</v>
      </c>
      <c r="K20" s="58">
        <v>6</v>
      </c>
      <c r="L20" s="58">
        <v>7</v>
      </c>
      <c r="M20" s="58">
        <v>4</v>
      </c>
      <c r="N20" s="58">
        <v>0</v>
      </c>
      <c r="O20" s="58">
        <v>0</v>
      </c>
      <c r="P20" s="58">
        <v>0</v>
      </c>
      <c r="Q20" s="58">
        <v>6</v>
      </c>
      <c r="R20" s="58">
        <v>28</v>
      </c>
      <c r="S20" s="58">
        <v>0</v>
      </c>
      <c r="T20" s="58">
        <v>0</v>
      </c>
      <c r="U20" s="94"/>
    </row>
    <row r="21" spans="1:21" s="93" customFormat="1" ht="13.5" customHeight="1">
      <c r="A21" s="538"/>
      <c r="B21" s="493"/>
      <c r="C21" s="235" t="s">
        <v>704</v>
      </c>
      <c r="D21" s="64">
        <v>126</v>
      </c>
      <c r="E21" s="49">
        <v>126</v>
      </c>
      <c r="F21" s="58">
        <v>0</v>
      </c>
      <c r="G21" s="49">
        <v>30</v>
      </c>
      <c r="H21" s="49">
        <v>0</v>
      </c>
      <c r="I21" s="49">
        <v>21</v>
      </c>
      <c r="J21" s="59">
        <v>35</v>
      </c>
      <c r="K21" s="58">
        <v>35</v>
      </c>
      <c r="L21" s="58">
        <v>25</v>
      </c>
      <c r="M21" s="58">
        <v>5</v>
      </c>
      <c r="N21" s="58">
        <v>4</v>
      </c>
      <c r="O21" s="58">
        <v>1</v>
      </c>
      <c r="P21" s="58">
        <v>0</v>
      </c>
      <c r="Q21" s="58">
        <v>12</v>
      </c>
      <c r="R21" s="58">
        <v>112</v>
      </c>
      <c r="S21" s="58">
        <v>2</v>
      </c>
      <c r="T21" s="58">
        <v>0</v>
      </c>
      <c r="U21" s="94"/>
    </row>
    <row r="22" spans="1:20" s="85" customFormat="1" ht="13.5" customHeight="1">
      <c r="A22" s="538"/>
      <c r="B22" s="491" t="s">
        <v>536</v>
      </c>
      <c r="C22" s="234" t="s">
        <v>702</v>
      </c>
      <c r="D22" s="55">
        <f>SUM(D23:D24)</f>
        <v>92</v>
      </c>
      <c r="E22" s="55">
        <f>SUM(E23:E24)</f>
        <v>92</v>
      </c>
      <c r="F22" s="55">
        <f aca="true" t="shared" si="5" ref="F22:T22">SUM(F23:F24)</f>
        <v>0</v>
      </c>
      <c r="G22" s="55">
        <v>33</v>
      </c>
      <c r="H22" s="55">
        <f t="shared" si="5"/>
        <v>0</v>
      </c>
      <c r="I22" s="55">
        <f t="shared" si="5"/>
        <v>3</v>
      </c>
      <c r="J22" s="55">
        <f t="shared" si="5"/>
        <v>26</v>
      </c>
      <c r="K22" s="55">
        <f t="shared" si="5"/>
        <v>36</v>
      </c>
      <c r="L22" s="55">
        <f t="shared" si="5"/>
        <v>18</v>
      </c>
      <c r="M22" s="55">
        <f t="shared" si="5"/>
        <v>7</v>
      </c>
      <c r="N22" s="55">
        <f t="shared" si="5"/>
        <v>1</v>
      </c>
      <c r="O22" s="55">
        <f t="shared" si="5"/>
        <v>0</v>
      </c>
      <c r="P22" s="55">
        <f t="shared" si="5"/>
        <v>1</v>
      </c>
      <c r="Q22" s="55">
        <f t="shared" si="5"/>
        <v>9</v>
      </c>
      <c r="R22" s="55">
        <f t="shared" si="5"/>
        <v>83</v>
      </c>
      <c r="S22" s="55">
        <f t="shared" si="5"/>
        <v>0</v>
      </c>
      <c r="T22" s="55">
        <f t="shared" si="5"/>
        <v>0</v>
      </c>
    </row>
    <row r="23" spans="1:20" s="85" customFormat="1" ht="13.5" customHeight="1">
      <c r="A23" s="538"/>
      <c r="B23" s="492"/>
      <c r="C23" s="124" t="s">
        <v>703</v>
      </c>
      <c r="D23" s="64">
        <v>24</v>
      </c>
      <c r="E23" s="49">
        <v>24</v>
      </c>
      <c r="F23" s="58">
        <v>0</v>
      </c>
      <c r="G23" s="49">
        <v>34</v>
      </c>
      <c r="H23" s="49">
        <v>0</v>
      </c>
      <c r="I23" s="49">
        <v>0</v>
      </c>
      <c r="J23" s="59">
        <v>4</v>
      </c>
      <c r="K23" s="58">
        <v>12</v>
      </c>
      <c r="L23" s="58">
        <v>5</v>
      </c>
      <c r="M23" s="58">
        <v>2</v>
      </c>
      <c r="N23" s="58">
        <v>0</v>
      </c>
      <c r="O23" s="58">
        <v>0</v>
      </c>
      <c r="P23" s="58">
        <v>1</v>
      </c>
      <c r="Q23" s="58">
        <v>4</v>
      </c>
      <c r="R23" s="58">
        <v>20</v>
      </c>
      <c r="S23" s="58">
        <v>0</v>
      </c>
      <c r="T23" s="62">
        <v>0</v>
      </c>
    </row>
    <row r="24" spans="1:20" s="85" customFormat="1" ht="13.5" customHeight="1">
      <c r="A24" s="538"/>
      <c r="B24" s="493"/>
      <c r="C24" s="235" t="s">
        <v>704</v>
      </c>
      <c r="D24" s="64">
        <v>68</v>
      </c>
      <c r="E24" s="49">
        <v>68</v>
      </c>
      <c r="F24" s="58">
        <v>0</v>
      </c>
      <c r="G24" s="49">
        <v>32</v>
      </c>
      <c r="H24" s="49">
        <v>0</v>
      </c>
      <c r="I24" s="49">
        <v>3</v>
      </c>
      <c r="J24" s="59">
        <v>22</v>
      </c>
      <c r="K24" s="58">
        <v>24</v>
      </c>
      <c r="L24" s="58">
        <v>13</v>
      </c>
      <c r="M24" s="58">
        <v>5</v>
      </c>
      <c r="N24" s="58">
        <v>1</v>
      </c>
      <c r="O24" s="58">
        <v>0</v>
      </c>
      <c r="P24" s="58">
        <v>0</v>
      </c>
      <c r="Q24" s="58">
        <v>5</v>
      </c>
      <c r="R24" s="58">
        <v>63</v>
      </c>
      <c r="S24" s="58">
        <v>0</v>
      </c>
      <c r="T24" s="62">
        <v>0</v>
      </c>
    </row>
    <row r="25" spans="1:20" s="85" customFormat="1" ht="13.5" customHeight="1">
      <c r="A25" s="538"/>
      <c r="B25" s="491" t="s">
        <v>537</v>
      </c>
      <c r="C25" s="234" t="s">
        <v>702</v>
      </c>
      <c r="D25" s="54">
        <f>SUM(D26:D27)</f>
        <v>120</v>
      </c>
      <c r="E25" s="55">
        <f aca="true" t="shared" si="6" ref="E25:T25">SUM(E26:E27)</f>
        <v>120</v>
      </c>
      <c r="F25" s="55">
        <f t="shared" si="6"/>
        <v>0</v>
      </c>
      <c r="G25" s="55">
        <v>29</v>
      </c>
      <c r="H25" s="55">
        <f t="shared" si="6"/>
        <v>0</v>
      </c>
      <c r="I25" s="55">
        <f t="shared" si="6"/>
        <v>29</v>
      </c>
      <c r="J25" s="55">
        <f t="shared" si="6"/>
        <v>40</v>
      </c>
      <c r="K25" s="55">
        <f t="shared" si="6"/>
        <v>30</v>
      </c>
      <c r="L25" s="55">
        <f t="shared" si="6"/>
        <v>16</v>
      </c>
      <c r="M25" s="55">
        <f t="shared" si="6"/>
        <v>3</v>
      </c>
      <c r="N25" s="55">
        <f t="shared" si="6"/>
        <v>2</v>
      </c>
      <c r="O25" s="55">
        <f t="shared" si="6"/>
        <v>0</v>
      </c>
      <c r="P25" s="55">
        <f t="shared" si="6"/>
        <v>0</v>
      </c>
      <c r="Q25" s="55">
        <f t="shared" si="6"/>
        <v>15</v>
      </c>
      <c r="R25" s="55">
        <f t="shared" si="6"/>
        <v>99</v>
      </c>
      <c r="S25" s="55">
        <f t="shared" si="6"/>
        <v>6</v>
      </c>
      <c r="T25" s="55">
        <f t="shared" si="6"/>
        <v>0</v>
      </c>
    </row>
    <row r="26" spans="1:20" s="85" customFormat="1" ht="13.5" customHeight="1">
      <c r="A26" s="538"/>
      <c r="B26" s="492"/>
      <c r="C26" s="124" t="s">
        <v>703</v>
      </c>
      <c r="D26" s="64">
        <v>18</v>
      </c>
      <c r="E26" s="49">
        <v>18</v>
      </c>
      <c r="F26" s="49">
        <v>0</v>
      </c>
      <c r="G26" s="49">
        <v>30</v>
      </c>
      <c r="H26" s="49">
        <v>0</v>
      </c>
      <c r="I26" s="49">
        <v>1</v>
      </c>
      <c r="J26" s="49">
        <v>10</v>
      </c>
      <c r="K26" s="49">
        <v>3</v>
      </c>
      <c r="L26" s="49">
        <v>3</v>
      </c>
      <c r="M26" s="49">
        <v>0</v>
      </c>
      <c r="N26" s="49">
        <v>1</v>
      </c>
      <c r="O26" s="49">
        <v>0</v>
      </c>
      <c r="P26" s="49">
        <v>0</v>
      </c>
      <c r="Q26" s="49">
        <v>5</v>
      </c>
      <c r="R26" s="49">
        <v>13</v>
      </c>
      <c r="S26" s="49">
        <v>0</v>
      </c>
      <c r="T26" s="49">
        <v>0</v>
      </c>
    </row>
    <row r="27" spans="1:20" s="85" customFormat="1" ht="13.5" customHeight="1">
      <c r="A27" s="538"/>
      <c r="B27" s="492"/>
      <c r="C27" s="235" t="s">
        <v>704</v>
      </c>
      <c r="D27" s="64">
        <v>102</v>
      </c>
      <c r="E27" s="49">
        <v>102</v>
      </c>
      <c r="F27" s="49">
        <v>0</v>
      </c>
      <c r="G27" s="49">
        <v>29</v>
      </c>
      <c r="H27" s="49">
        <v>0</v>
      </c>
      <c r="I27" s="49">
        <v>28</v>
      </c>
      <c r="J27" s="49">
        <v>30</v>
      </c>
      <c r="K27" s="49">
        <v>27</v>
      </c>
      <c r="L27" s="49">
        <v>13</v>
      </c>
      <c r="M27" s="49">
        <v>3</v>
      </c>
      <c r="N27" s="49">
        <v>1</v>
      </c>
      <c r="O27" s="49">
        <v>0</v>
      </c>
      <c r="P27" s="49">
        <v>0</v>
      </c>
      <c r="Q27" s="49">
        <v>10</v>
      </c>
      <c r="R27" s="49">
        <v>86</v>
      </c>
      <c r="S27" s="49">
        <v>6</v>
      </c>
      <c r="T27" s="49">
        <v>0</v>
      </c>
    </row>
    <row r="28" spans="1:20" s="85" customFormat="1" ht="13.5" customHeight="1">
      <c r="A28" s="541" t="s">
        <v>129</v>
      </c>
      <c r="B28" s="536" t="s">
        <v>518</v>
      </c>
      <c r="C28" s="234" t="s">
        <v>702</v>
      </c>
      <c r="D28" s="140">
        <f>SUM(D31,D34,D37,D40,D43,D46)+SUM('表32(續8)'!D7,'表32(續8)'!D10,'表32(續8)'!D13,'表32(續8)'!D16)</f>
        <v>1692</v>
      </c>
      <c r="E28" s="56">
        <f>SUM(E31,E34,E37,E40,E43,E46)+SUM('表32(續8)'!E7,'表32(續8)'!E10,'表32(續8)'!E13,'表32(續8)'!E16)</f>
        <v>1692</v>
      </c>
      <c r="F28" s="56">
        <f>SUM(F31,F34,F37,F40,F43,F46)+SUM('表32(續8)'!F7,'表32(續8)'!F10,'表32(續8)'!F13,'表32(續8)'!F16)</f>
        <v>0</v>
      </c>
      <c r="G28" s="56">
        <f>(SUM(G31,G34,G37,G40,G43,G46)+SUM('表32(續8)'!G7,'表32(續8)'!G10,'表32(續8)'!G13,'表32(續8)'!G16))/10</f>
        <v>31</v>
      </c>
      <c r="H28" s="56">
        <f>SUM(H31,H34,H37,H40,H43,H46)+SUM('表32(續8)'!H7,'表32(續8)'!H10,'表32(續8)'!H13,'表32(續8)'!H16)</f>
        <v>0</v>
      </c>
      <c r="I28" s="56">
        <f>SUM(I31,I34,I37,I40,I43,I46)+SUM('表32(續8)'!I7,'表32(續8)'!I10,'表32(續8)'!I13,'表32(續8)'!I16)</f>
        <v>95</v>
      </c>
      <c r="J28" s="56">
        <f>SUM(J31,J34,J37,J40,J43,J46)+SUM('表32(續8)'!J7,'表32(續8)'!J10,'表32(續8)'!J13,'表32(續8)'!J16)</f>
        <v>607</v>
      </c>
      <c r="K28" s="56">
        <f>SUM(K31,K34,K37,K40,K43,K46)+SUM('表32(續8)'!K7,'表32(續8)'!K10,'表32(續8)'!K13,'表32(續8)'!K16)</f>
        <v>518</v>
      </c>
      <c r="L28" s="56">
        <f>SUM(L31,L34,L37,L40,L43,L46)+SUM('表32(續8)'!L7,'表32(續8)'!L10,'表32(續8)'!L13,'表32(續8)'!L16)</f>
        <v>351</v>
      </c>
      <c r="M28" s="56">
        <f>SUM(M31,M34,M37,M40,M43,M46)+SUM('表32(續8)'!M7,'表32(續8)'!M10,'表32(續8)'!M13,'表32(續8)'!M16)</f>
        <v>96</v>
      </c>
      <c r="N28" s="56">
        <f>SUM(N31,N34,N37,N40,N43,N46)+SUM('表32(續8)'!N7,'表32(續8)'!N10,'表32(續8)'!N13,'表32(續8)'!N16)</f>
        <v>19</v>
      </c>
      <c r="O28" s="56">
        <f>SUM(O31,O34,O37,O40,O43,O46)+SUM('表32(續8)'!O7,'表32(續8)'!O10,'表32(續8)'!O13,'表32(續8)'!O16)</f>
        <v>4</v>
      </c>
      <c r="P28" s="56">
        <f>SUM(P31,P34,P37,P40,P43,P46)+SUM('表32(續8)'!P7,'表32(續8)'!P10,'表32(續8)'!P13,'表32(續8)'!P16)</f>
        <v>2</v>
      </c>
      <c r="Q28" s="56">
        <f>SUM(Q31,Q34,Q37,Q40,Q43,Q46)+SUM('表32(續8)'!Q7,'表32(續8)'!Q10,'表32(續8)'!Q13,'表32(續8)'!Q16)</f>
        <v>225</v>
      </c>
      <c r="R28" s="56">
        <f>SUM(R31,R34,R37,R40,R43,R46)+SUM('表32(續8)'!R7,'表32(續8)'!R10,'表32(續8)'!R13,'表32(續8)'!R16)</f>
        <v>1257</v>
      </c>
      <c r="S28" s="56">
        <f>SUM(S31,S34,S37,S40,S43,S46)+SUM('表32(續8)'!S7,'表32(續8)'!S10,'表32(續8)'!S13,'表32(續8)'!S16)</f>
        <v>48</v>
      </c>
      <c r="T28" s="56">
        <f>SUM(T31,T34,T37,T40,T43,T46)+SUM('表32(續8)'!T7,'表32(續8)'!T10,'表32(續8)'!T13,'表32(續8)'!T16)</f>
        <v>0</v>
      </c>
    </row>
    <row r="29" spans="1:20" s="85" customFormat="1" ht="13.5" customHeight="1">
      <c r="A29" s="542"/>
      <c r="B29" s="492"/>
      <c r="C29" s="124" t="s">
        <v>703</v>
      </c>
      <c r="D29" s="24">
        <f>SUM(D32,D35,D38,D41,D44,D47)+SUM('表32(續8)'!D8,'表32(續8)'!D11,'表32(續8)'!D14,'表32(續8)'!D17)</f>
        <v>1155</v>
      </c>
      <c r="E29" s="10">
        <f>SUM(E32,E35,E38,E41,E44,E47)+SUM('表32(續8)'!E8,'表32(續8)'!E11,'表32(續8)'!E14,'表32(續8)'!E17)</f>
        <v>1155</v>
      </c>
      <c r="F29" s="10">
        <f>SUM(F32,F35,F38,F41,F44,F47)+SUM('表32(續8)'!F8,'表32(續8)'!F11,'表32(續8)'!F14,'表32(續8)'!F17)</f>
        <v>0</v>
      </c>
      <c r="G29" s="10">
        <f>(SUM(G32,G35,G38,G41,G44,G47)+SUM('表32(續8)'!G8,'表32(續8)'!G11,'表32(續8)'!G14,'表32(續8)'!G17))/10</f>
        <v>31.8</v>
      </c>
      <c r="H29" s="10">
        <f>SUM(H32,H35,H38,H41,H44,H47)+SUM('表32(續8)'!H8,'表32(續8)'!H11,'表32(續8)'!H14,'表32(續8)'!H17)</f>
        <v>0</v>
      </c>
      <c r="I29" s="10">
        <f>SUM(I32,I35,I38,I41,I44,I47)+SUM('表32(續8)'!I8,'表32(續8)'!I11,'表32(續8)'!I14,'表32(續8)'!I17)</f>
        <v>29</v>
      </c>
      <c r="J29" s="10">
        <f>SUM(J32,J35,J38,J41,J44,J47)+SUM('表32(續8)'!J8,'表32(續8)'!J11,'表32(續8)'!J14,'表32(續8)'!J17)</f>
        <v>346</v>
      </c>
      <c r="K29" s="10">
        <f>SUM(K32,K35,K38,K41,K44,K47)+SUM('表32(續8)'!K8,'表32(續8)'!K11,'表32(續8)'!K14,'表32(續8)'!K17)</f>
        <v>382</v>
      </c>
      <c r="L29" s="10">
        <f>SUM(L32,L35,L38,L41,L44,L47)+SUM('表32(續8)'!L8,'表32(續8)'!L11,'表32(續8)'!L14,'表32(續8)'!L17)</f>
        <v>289</v>
      </c>
      <c r="M29" s="10">
        <f>SUM(M32,M35,M38,M41,M44,M47)+SUM('表32(續8)'!M8,'表32(續8)'!M11,'表32(續8)'!M14,'表32(續8)'!M17)</f>
        <v>87</v>
      </c>
      <c r="N29" s="10">
        <f>SUM(N32,N35,N38,N41,N44,N47)+SUM('表32(續8)'!N8,'表32(續8)'!N11,'表32(續8)'!N14,'表32(續8)'!N17)</f>
        <v>16</v>
      </c>
      <c r="O29" s="10">
        <f>SUM(O32,O35,O38,O41,O44,O47)+SUM('表32(續8)'!O8,'表32(續8)'!O11,'表32(續8)'!O14,'表32(續8)'!O17)</f>
        <v>4</v>
      </c>
      <c r="P29" s="10">
        <f>SUM(P32,P35,P38,P41,P44,P47)+SUM('表32(續8)'!P8,'表32(續8)'!P11,'表32(續8)'!P14,'表32(續8)'!P17)</f>
        <v>2</v>
      </c>
      <c r="Q29" s="10">
        <f>SUM(Q32,Q35,Q38,Q41,Q44,Q47)+SUM('表32(續8)'!Q8,'表32(續8)'!Q11,'表32(續8)'!Q14,'表32(續8)'!Q17)</f>
        <v>155</v>
      </c>
      <c r="R29" s="10">
        <f>SUM(R32,R35,R38,R41,R44,R47)+SUM('表32(續8)'!R8,'表32(續8)'!R11,'表32(續8)'!R14,'表32(續8)'!R17)</f>
        <v>856</v>
      </c>
      <c r="S29" s="10">
        <f>SUM(S32,S35,S38,S41,S44,S47)+SUM('表32(續8)'!S8,'表32(續8)'!S11,'表32(續8)'!S14,'表32(續8)'!S17)</f>
        <v>38</v>
      </c>
      <c r="T29" s="10">
        <f>SUM(T32,T35,T38,T41,T44,T47)+SUM('表32(續8)'!T8,'表32(續8)'!T11,'表32(續8)'!T14,'表32(續8)'!T17)</f>
        <v>0</v>
      </c>
    </row>
    <row r="30" spans="1:20" s="85" customFormat="1" ht="13.5" customHeight="1">
      <c r="A30" s="542"/>
      <c r="B30" s="492"/>
      <c r="C30" s="235" t="s">
        <v>704</v>
      </c>
      <c r="D30" s="24">
        <f>SUM(D33,D36,D39,D42,D45,D48)+SUM('表32(續8)'!D9,'表32(續8)'!D12,'表32(續8)'!D15,'表32(續8)'!D18)</f>
        <v>537</v>
      </c>
      <c r="E30" s="10">
        <f>SUM(E33,E36,E39,E42,E45,E48)+SUM('表32(續8)'!E9,'表32(續8)'!E12,'表32(續8)'!E15,'表32(續8)'!E18)</f>
        <v>537</v>
      </c>
      <c r="F30" s="10">
        <f>SUM(F33,F36,F39,F42,F45,F48)+SUM('表32(續8)'!F9,'表32(續8)'!F12,'表32(續8)'!F15,'表32(續8)'!F18)</f>
        <v>0</v>
      </c>
      <c r="G30" s="10">
        <v>29</v>
      </c>
      <c r="H30" s="10">
        <f>SUM(H33,H36,H39,H42,H45,H48)+SUM('表32(續8)'!H9,'表32(續8)'!H12,'表32(續8)'!H15,'表32(續8)'!H18)</f>
        <v>0</v>
      </c>
      <c r="I30" s="10">
        <f>SUM(I33,I36,I39,I42,I45,I48)+SUM('表32(續8)'!I9,'表32(續8)'!I12,'表32(續8)'!I15,'表32(續8)'!I18)</f>
        <v>66</v>
      </c>
      <c r="J30" s="10">
        <f>SUM(J33,J36,J39,J42,J45,J48)+SUM('表32(續8)'!J9,'表32(續8)'!J12,'表32(續8)'!J15,'表32(續8)'!J18)</f>
        <v>261</v>
      </c>
      <c r="K30" s="10">
        <f>SUM(K33,K36,K39,K42,K45,K48)+SUM('表32(續8)'!K9,'表32(續8)'!K12,'表32(續8)'!K15,'表32(續8)'!K18)</f>
        <v>136</v>
      </c>
      <c r="L30" s="10">
        <f>SUM(L33,L36,L39,L42,L45,L48)+SUM('表32(續8)'!L9,'表32(續8)'!L12,'表32(續8)'!L15,'表32(續8)'!L18)</f>
        <v>62</v>
      </c>
      <c r="M30" s="10">
        <f>SUM(M33,M36,M39,M42,M45,M48)+SUM('表32(續8)'!M9,'表32(續8)'!M12,'表32(續8)'!M15,'表32(續8)'!M18)</f>
        <v>9</v>
      </c>
      <c r="N30" s="10">
        <f>SUM(N33,N36,N39,N42,N45,N48)+SUM('表32(續8)'!N9,'表32(續8)'!N12,'表32(續8)'!N15,'表32(續8)'!N18)</f>
        <v>3</v>
      </c>
      <c r="O30" s="10">
        <f>SUM(O33,O36,O39,O42,O45,O48)+SUM('表32(續8)'!O9,'表32(續8)'!O12,'表32(續8)'!O15,'表32(續8)'!O18)</f>
        <v>0</v>
      </c>
      <c r="P30" s="10">
        <f>SUM(P33,P36,P39,P42,P45,P48)+SUM('表32(續8)'!P9,'表32(續8)'!P12,'表32(續8)'!P15,'表32(續8)'!P18)</f>
        <v>0</v>
      </c>
      <c r="Q30" s="10">
        <f>SUM(Q33,Q36,Q39,Q42,Q45,Q48)+SUM('表32(續8)'!Q9,'表32(續8)'!Q12,'表32(續8)'!Q15,'表32(續8)'!Q18)</f>
        <v>70</v>
      </c>
      <c r="R30" s="10">
        <f>SUM(R33,R36,R39,R42,R45,R48)+SUM('表32(續8)'!R9,'表32(續8)'!R12,'表32(續8)'!R15,'表32(續8)'!R18)</f>
        <v>401</v>
      </c>
      <c r="S30" s="10">
        <f>SUM(S33,S36,S39,S42,S45,S48)+SUM('表32(續8)'!S9,'表32(續8)'!S12,'表32(續8)'!S15,'表32(續8)'!S18)</f>
        <v>10</v>
      </c>
      <c r="T30" s="10">
        <f>SUM(T33,T36,T39,T42,T45,T48)+SUM('表32(續8)'!T9,'表32(續8)'!T12,'表32(續8)'!T15,'表32(續8)'!T18)</f>
        <v>0</v>
      </c>
    </row>
    <row r="31" spans="1:20" s="93" customFormat="1" ht="13.5" customHeight="1">
      <c r="A31" s="542"/>
      <c r="B31" s="491" t="s">
        <v>519</v>
      </c>
      <c r="C31" s="234" t="s">
        <v>702</v>
      </c>
      <c r="D31" s="54">
        <f>SUM(D32:D33)</f>
        <v>133</v>
      </c>
      <c r="E31" s="55">
        <f>SUM(E32:E33)</f>
        <v>133</v>
      </c>
      <c r="F31" s="55">
        <f aca="true" t="shared" si="7" ref="F31:T31">SUM(F32:F33)</f>
        <v>0</v>
      </c>
      <c r="G31" s="55">
        <f>SUM(G32:G33)/2</f>
        <v>30.5</v>
      </c>
      <c r="H31" s="55">
        <f t="shared" si="7"/>
        <v>0</v>
      </c>
      <c r="I31" s="55">
        <f t="shared" si="7"/>
        <v>8</v>
      </c>
      <c r="J31" s="55">
        <f t="shared" si="7"/>
        <v>40</v>
      </c>
      <c r="K31" s="55">
        <f t="shared" si="7"/>
        <v>51</v>
      </c>
      <c r="L31" s="55">
        <f t="shared" si="7"/>
        <v>30</v>
      </c>
      <c r="M31" s="55">
        <f t="shared" si="7"/>
        <v>4</v>
      </c>
      <c r="N31" s="55">
        <f t="shared" si="7"/>
        <v>0</v>
      </c>
      <c r="O31" s="55">
        <f t="shared" si="7"/>
        <v>0</v>
      </c>
      <c r="P31" s="55">
        <f t="shared" si="7"/>
        <v>0</v>
      </c>
      <c r="Q31" s="55">
        <f t="shared" si="7"/>
        <v>0</v>
      </c>
      <c r="R31" s="55">
        <f t="shared" si="7"/>
        <v>0</v>
      </c>
      <c r="S31" s="55">
        <f t="shared" si="7"/>
        <v>0</v>
      </c>
      <c r="T31" s="55">
        <f t="shared" si="7"/>
        <v>0</v>
      </c>
    </row>
    <row r="32" spans="1:20" s="93" customFormat="1" ht="13.5" customHeight="1">
      <c r="A32" s="542"/>
      <c r="B32" s="492"/>
      <c r="C32" s="124" t="s">
        <v>703</v>
      </c>
      <c r="D32" s="64">
        <v>83</v>
      </c>
      <c r="E32" s="49">
        <v>83</v>
      </c>
      <c r="F32" s="58">
        <v>0</v>
      </c>
      <c r="G32" s="49">
        <v>32</v>
      </c>
      <c r="H32" s="49">
        <v>0</v>
      </c>
      <c r="I32" s="49">
        <v>1</v>
      </c>
      <c r="J32" s="59">
        <v>19</v>
      </c>
      <c r="K32" s="58">
        <v>37</v>
      </c>
      <c r="L32" s="58">
        <v>22</v>
      </c>
      <c r="M32" s="58">
        <v>4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</row>
    <row r="33" spans="1:20" s="93" customFormat="1" ht="13.5" customHeight="1">
      <c r="A33" s="542"/>
      <c r="B33" s="493"/>
      <c r="C33" s="235" t="s">
        <v>704</v>
      </c>
      <c r="D33" s="64">
        <v>50</v>
      </c>
      <c r="E33" s="49">
        <v>50</v>
      </c>
      <c r="F33" s="58">
        <v>0</v>
      </c>
      <c r="G33" s="49">
        <v>29</v>
      </c>
      <c r="H33" s="49">
        <v>0</v>
      </c>
      <c r="I33" s="49">
        <v>7</v>
      </c>
      <c r="J33" s="59">
        <v>21</v>
      </c>
      <c r="K33" s="58">
        <v>14</v>
      </c>
      <c r="L33" s="58">
        <v>8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</row>
    <row r="34" spans="1:20" s="93" customFormat="1" ht="13.5" customHeight="1">
      <c r="A34" s="542"/>
      <c r="B34" s="514" t="s">
        <v>520</v>
      </c>
      <c r="C34" s="234" t="s">
        <v>702</v>
      </c>
      <c r="D34" s="54">
        <f>SUM(D35:D36)</f>
        <v>29</v>
      </c>
      <c r="E34" s="55">
        <f>SUM(E35:E36)</f>
        <v>29</v>
      </c>
      <c r="F34" s="55">
        <f aca="true" t="shared" si="8" ref="F34:T34">SUM(F35:F36)</f>
        <v>0</v>
      </c>
      <c r="G34" s="55">
        <f>SUM(G35:G36)/2</f>
        <v>31.5</v>
      </c>
      <c r="H34" s="55">
        <f t="shared" si="8"/>
        <v>0</v>
      </c>
      <c r="I34" s="55">
        <f t="shared" si="8"/>
        <v>0</v>
      </c>
      <c r="J34" s="55">
        <f t="shared" si="8"/>
        <v>7</v>
      </c>
      <c r="K34" s="55">
        <f t="shared" si="8"/>
        <v>12</v>
      </c>
      <c r="L34" s="55">
        <f t="shared" si="8"/>
        <v>10</v>
      </c>
      <c r="M34" s="55">
        <f t="shared" si="8"/>
        <v>0</v>
      </c>
      <c r="N34" s="55">
        <f t="shared" si="8"/>
        <v>0</v>
      </c>
      <c r="O34" s="55">
        <f t="shared" si="8"/>
        <v>0</v>
      </c>
      <c r="P34" s="55">
        <f t="shared" si="8"/>
        <v>0</v>
      </c>
      <c r="Q34" s="55">
        <f t="shared" si="8"/>
        <v>0</v>
      </c>
      <c r="R34" s="55">
        <f t="shared" si="8"/>
        <v>0</v>
      </c>
      <c r="S34" s="55">
        <f t="shared" si="8"/>
        <v>0</v>
      </c>
      <c r="T34" s="55">
        <f t="shared" si="8"/>
        <v>0</v>
      </c>
    </row>
    <row r="35" spans="1:20" s="93" customFormat="1" ht="13.5" customHeight="1">
      <c r="A35" s="542"/>
      <c r="B35" s="514"/>
      <c r="C35" s="124" t="s">
        <v>703</v>
      </c>
      <c r="D35" s="64">
        <v>23</v>
      </c>
      <c r="E35" s="49">
        <v>23</v>
      </c>
      <c r="F35" s="58">
        <v>0</v>
      </c>
      <c r="G35" s="49">
        <v>33</v>
      </c>
      <c r="H35" s="49">
        <v>0</v>
      </c>
      <c r="I35" s="49">
        <v>0</v>
      </c>
      <c r="J35" s="59">
        <v>4</v>
      </c>
      <c r="K35" s="58">
        <v>10</v>
      </c>
      <c r="L35" s="58">
        <v>9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62">
        <v>0</v>
      </c>
    </row>
    <row r="36" spans="1:20" s="93" customFormat="1" ht="13.5" customHeight="1">
      <c r="A36" s="542"/>
      <c r="B36" s="514"/>
      <c r="C36" s="235" t="s">
        <v>704</v>
      </c>
      <c r="D36" s="64">
        <v>6</v>
      </c>
      <c r="E36" s="49">
        <v>6</v>
      </c>
      <c r="F36" s="58">
        <v>0</v>
      </c>
      <c r="G36" s="49">
        <v>30</v>
      </c>
      <c r="H36" s="49">
        <v>0</v>
      </c>
      <c r="I36" s="49">
        <v>0</v>
      </c>
      <c r="J36" s="59">
        <v>3</v>
      </c>
      <c r="K36" s="58">
        <v>2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62">
        <v>0</v>
      </c>
    </row>
    <row r="37" spans="1:20" ht="15.75">
      <c r="A37" s="542"/>
      <c r="B37" s="491" t="s">
        <v>521</v>
      </c>
      <c r="C37" s="234" t="s">
        <v>702</v>
      </c>
      <c r="D37" s="54">
        <v>1</v>
      </c>
      <c r="E37" s="55">
        <v>1</v>
      </c>
      <c r="F37" s="55">
        <v>0</v>
      </c>
      <c r="G37" s="55">
        <v>28</v>
      </c>
      <c r="H37" s="55">
        <v>0</v>
      </c>
      <c r="I37" s="55">
        <v>0</v>
      </c>
      <c r="J37" s="55">
        <v>1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1</v>
      </c>
      <c r="S37" s="55">
        <v>0</v>
      </c>
      <c r="T37" s="55">
        <v>0</v>
      </c>
    </row>
    <row r="38" spans="1:20" ht="15.75">
      <c r="A38" s="542"/>
      <c r="B38" s="492"/>
      <c r="C38" s="124" t="s">
        <v>703</v>
      </c>
      <c r="D38" s="64">
        <v>1</v>
      </c>
      <c r="E38" s="49">
        <v>1</v>
      </c>
      <c r="F38" s="58">
        <v>0</v>
      </c>
      <c r="G38" s="49">
        <v>28</v>
      </c>
      <c r="H38" s="49">
        <v>0</v>
      </c>
      <c r="I38" s="49">
        <v>0</v>
      </c>
      <c r="J38" s="59">
        <v>1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1</v>
      </c>
      <c r="S38" s="58">
        <v>0</v>
      </c>
      <c r="T38" s="62">
        <v>0</v>
      </c>
    </row>
    <row r="39" spans="1:20" ht="15.75">
      <c r="A39" s="542"/>
      <c r="B39" s="493"/>
      <c r="C39" s="235" t="s">
        <v>704</v>
      </c>
      <c r="D39" s="64">
        <v>0</v>
      </c>
      <c r="E39" s="49">
        <v>0</v>
      </c>
      <c r="F39" s="58">
        <v>0</v>
      </c>
      <c r="G39" s="49">
        <v>0</v>
      </c>
      <c r="H39" s="49">
        <v>0</v>
      </c>
      <c r="I39" s="49">
        <v>0</v>
      </c>
      <c r="J39" s="59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62">
        <v>0</v>
      </c>
    </row>
    <row r="40" spans="1:20" ht="19.5" customHeight="1">
      <c r="A40" s="538" t="s">
        <v>131</v>
      </c>
      <c r="B40" s="491" t="s">
        <v>522</v>
      </c>
      <c r="C40" s="234" t="s">
        <v>702</v>
      </c>
      <c r="D40" s="54">
        <f>SUM(D41:D42)</f>
        <v>66</v>
      </c>
      <c r="E40" s="55">
        <f>SUM(E41:E42)</f>
        <v>66</v>
      </c>
      <c r="F40" s="55">
        <f aca="true" t="shared" si="9" ref="F40:T40">SUM(F41:F42)</f>
        <v>0</v>
      </c>
      <c r="G40" s="55">
        <v>33</v>
      </c>
      <c r="H40" s="55">
        <f t="shared" si="9"/>
        <v>0</v>
      </c>
      <c r="I40" s="55">
        <f t="shared" si="9"/>
        <v>0</v>
      </c>
      <c r="J40" s="55">
        <f t="shared" si="9"/>
        <v>17</v>
      </c>
      <c r="K40" s="55">
        <f t="shared" si="9"/>
        <v>20</v>
      </c>
      <c r="L40" s="55">
        <f t="shared" si="9"/>
        <v>21</v>
      </c>
      <c r="M40" s="55">
        <f t="shared" si="9"/>
        <v>7</v>
      </c>
      <c r="N40" s="55">
        <f t="shared" si="9"/>
        <v>1</v>
      </c>
      <c r="O40" s="55">
        <f t="shared" si="9"/>
        <v>0</v>
      </c>
      <c r="P40" s="55">
        <f t="shared" si="9"/>
        <v>0</v>
      </c>
      <c r="Q40" s="55">
        <f t="shared" si="9"/>
        <v>1</v>
      </c>
      <c r="R40" s="55">
        <f t="shared" si="9"/>
        <v>63</v>
      </c>
      <c r="S40" s="55">
        <f t="shared" si="9"/>
        <v>2</v>
      </c>
      <c r="T40" s="55">
        <f t="shared" si="9"/>
        <v>0</v>
      </c>
    </row>
    <row r="41" spans="1:20" ht="15.75">
      <c r="A41" s="538"/>
      <c r="B41" s="492"/>
      <c r="C41" s="124" t="s">
        <v>703</v>
      </c>
      <c r="D41" s="64">
        <v>56</v>
      </c>
      <c r="E41" s="49">
        <v>56</v>
      </c>
      <c r="F41" s="49">
        <v>0</v>
      </c>
      <c r="G41" s="49">
        <v>33</v>
      </c>
      <c r="H41" s="49">
        <v>0</v>
      </c>
      <c r="I41" s="49">
        <v>0</v>
      </c>
      <c r="J41" s="49">
        <v>13</v>
      </c>
      <c r="K41" s="49">
        <v>18</v>
      </c>
      <c r="L41" s="49">
        <v>17</v>
      </c>
      <c r="M41" s="49">
        <v>7</v>
      </c>
      <c r="N41" s="49">
        <v>1</v>
      </c>
      <c r="O41" s="49">
        <v>0</v>
      </c>
      <c r="P41" s="49">
        <v>0</v>
      </c>
      <c r="Q41" s="49">
        <v>1</v>
      </c>
      <c r="R41" s="49">
        <v>53</v>
      </c>
      <c r="S41" s="49">
        <v>2</v>
      </c>
      <c r="T41" s="49">
        <v>0</v>
      </c>
    </row>
    <row r="42" spans="1:20" ht="15.75">
      <c r="A42" s="538"/>
      <c r="B42" s="493"/>
      <c r="C42" s="235" t="s">
        <v>704</v>
      </c>
      <c r="D42" s="64">
        <v>10</v>
      </c>
      <c r="E42" s="49">
        <v>10</v>
      </c>
      <c r="F42" s="49">
        <v>0</v>
      </c>
      <c r="G42" s="49">
        <v>31</v>
      </c>
      <c r="H42" s="49">
        <v>0</v>
      </c>
      <c r="I42" s="49">
        <v>0</v>
      </c>
      <c r="J42" s="49">
        <v>4</v>
      </c>
      <c r="K42" s="49">
        <v>2</v>
      </c>
      <c r="L42" s="49">
        <v>4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10</v>
      </c>
      <c r="S42" s="49">
        <v>0</v>
      </c>
      <c r="T42" s="49">
        <v>0</v>
      </c>
    </row>
    <row r="43" spans="1:20" ht="15.75">
      <c r="A43" s="538"/>
      <c r="B43" s="491" t="s">
        <v>532</v>
      </c>
      <c r="C43" s="234" t="s">
        <v>702</v>
      </c>
      <c r="D43" s="54">
        <f>SUM(D44:D45)</f>
        <v>186</v>
      </c>
      <c r="E43" s="55">
        <f>SUM(E44:E45)</f>
        <v>186</v>
      </c>
      <c r="F43" s="55">
        <f aca="true" t="shared" si="10" ref="F43:T43">SUM(F44:F45)</f>
        <v>0</v>
      </c>
      <c r="G43" s="55">
        <v>32</v>
      </c>
      <c r="H43" s="55">
        <f t="shared" si="10"/>
        <v>0</v>
      </c>
      <c r="I43" s="55">
        <f t="shared" si="10"/>
        <v>8</v>
      </c>
      <c r="J43" s="55">
        <f t="shared" si="10"/>
        <v>43</v>
      </c>
      <c r="K43" s="55">
        <f t="shared" si="10"/>
        <v>54</v>
      </c>
      <c r="L43" s="55">
        <f t="shared" si="10"/>
        <v>68</v>
      </c>
      <c r="M43" s="55">
        <f t="shared" si="10"/>
        <v>12</v>
      </c>
      <c r="N43" s="55">
        <f t="shared" si="10"/>
        <v>1</v>
      </c>
      <c r="O43" s="55">
        <f t="shared" si="10"/>
        <v>0</v>
      </c>
      <c r="P43" s="55">
        <f t="shared" si="10"/>
        <v>0</v>
      </c>
      <c r="Q43" s="55">
        <f t="shared" si="10"/>
        <v>24</v>
      </c>
      <c r="R43" s="55">
        <f t="shared" si="10"/>
        <v>151</v>
      </c>
      <c r="S43" s="55">
        <f t="shared" si="10"/>
        <v>11</v>
      </c>
      <c r="T43" s="55">
        <f t="shared" si="10"/>
        <v>0</v>
      </c>
    </row>
    <row r="44" spans="1:20" ht="15.75">
      <c r="A44" s="556"/>
      <c r="B44" s="492"/>
      <c r="C44" s="124" t="s">
        <v>703</v>
      </c>
      <c r="D44" s="64">
        <v>143</v>
      </c>
      <c r="E44" s="49">
        <v>143</v>
      </c>
      <c r="F44" s="59">
        <v>0</v>
      </c>
      <c r="G44" s="58">
        <v>33</v>
      </c>
      <c r="H44" s="58">
        <v>0</v>
      </c>
      <c r="I44" s="58">
        <v>3</v>
      </c>
      <c r="J44" s="58">
        <v>26</v>
      </c>
      <c r="K44" s="58">
        <v>41</v>
      </c>
      <c r="L44" s="58">
        <v>61</v>
      </c>
      <c r="M44" s="58">
        <v>11</v>
      </c>
      <c r="N44" s="58">
        <v>1</v>
      </c>
      <c r="O44" s="58">
        <v>0</v>
      </c>
      <c r="P44" s="59">
        <v>0</v>
      </c>
      <c r="Q44" s="59">
        <v>22</v>
      </c>
      <c r="R44" s="59">
        <v>111</v>
      </c>
      <c r="S44" s="59">
        <v>10</v>
      </c>
      <c r="T44" s="49">
        <v>0</v>
      </c>
    </row>
    <row r="45" spans="1:20" ht="15.75">
      <c r="A45" s="538"/>
      <c r="B45" s="493"/>
      <c r="C45" s="235" t="s">
        <v>704</v>
      </c>
      <c r="D45" s="64">
        <v>43</v>
      </c>
      <c r="E45" s="49">
        <v>43</v>
      </c>
      <c r="F45" s="59">
        <v>0</v>
      </c>
      <c r="G45" s="58">
        <v>29</v>
      </c>
      <c r="H45" s="58">
        <v>0</v>
      </c>
      <c r="I45" s="58">
        <v>5</v>
      </c>
      <c r="J45" s="58">
        <v>17</v>
      </c>
      <c r="K45" s="58">
        <v>13</v>
      </c>
      <c r="L45" s="58">
        <v>7</v>
      </c>
      <c r="M45" s="58">
        <v>1</v>
      </c>
      <c r="N45" s="58">
        <v>0</v>
      </c>
      <c r="O45" s="58">
        <v>0</v>
      </c>
      <c r="P45" s="59">
        <v>0</v>
      </c>
      <c r="Q45" s="59">
        <v>2</v>
      </c>
      <c r="R45" s="59">
        <v>40</v>
      </c>
      <c r="S45" s="59">
        <v>1</v>
      </c>
      <c r="T45" s="49">
        <v>0</v>
      </c>
    </row>
    <row r="46" spans="1:20" ht="15.75" customHeight="1">
      <c r="A46" s="538"/>
      <c r="B46" s="507" t="s">
        <v>533</v>
      </c>
      <c r="C46" s="234" t="s">
        <v>702</v>
      </c>
      <c r="D46" s="54">
        <f>SUM(D47:D48)</f>
        <v>219</v>
      </c>
      <c r="E46" s="55">
        <f>SUM(E47:E48)</f>
        <v>219</v>
      </c>
      <c r="F46" s="55">
        <f aca="true" t="shared" si="11" ref="F46:T46">SUM(F47:F48)</f>
        <v>0</v>
      </c>
      <c r="G46" s="55">
        <v>31</v>
      </c>
      <c r="H46" s="55">
        <f t="shared" si="11"/>
        <v>0</v>
      </c>
      <c r="I46" s="55">
        <f t="shared" si="11"/>
        <v>13</v>
      </c>
      <c r="J46" s="55">
        <f t="shared" si="11"/>
        <v>68</v>
      </c>
      <c r="K46" s="55">
        <f t="shared" si="11"/>
        <v>76</v>
      </c>
      <c r="L46" s="55">
        <f t="shared" si="11"/>
        <v>51</v>
      </c>
      <c r="M46" s="55">
        <f t="shared" si="11"/>
        <v>10</v>
      </c>
      <c r="N46" s="55">
        <f t="shared" si="11"/>
        <v>1</v>
      </c>
      <c r="O46" s="55">
        <f t="shared" si="11"/>
        <v>0</v>
      </c>
      <c r="P46" s="55">
        <f t="shared" si="11"/>
        <v>0</v>
      </c>
      <c r="Q46" s="55">
        <f t="shared" si="11"/>
        <v>14</v>
      </c>
      <c r="R46" s="55">
        <f t="shared" si="11"/>
        <v>197</v>
      </c>
      <c r="S46" s="55">
        <f t="shared" si="11"/>
        <v>8</v>
      </c>
      <c r="T46" s="55">
        <f t="shared" si="11"/>
        <v>0</v>
      </c>
    </row>
    <row r="47" spans="1:20" ht="15.75">
      <c r="A47" s="538"/>
      <c r="B47" s="516"/>
      <c r="C47" s="124" t="s">
        <v>703</v>
      </c>
      <c r="D47" s="24">
        <v>162</v>
      </c>
      <c r="E47" s="10">
        <v>162</v>
      </c>
      <c r="F47" s="10">
        <v>0</v>
      </c>
      <c r="G47" s="10">
        <v>32</v>
      </c>
      <c r="H47" s="10">
        <v>0</v>
      </c>
      <c r="I47" s="10">
        <v>5</v>
      </c>
      <c r="J47" s="10">
        <v>38</v>
      </c>
      <c r="K47" s="10">
        <v>61</v>
      </c>
      <c r="L47" s="10">
        <v>49</v>
      </c>
      <c r="M47" s="10">
        <v>8</v>
      </c>
      <c r="N47" s="10">
        <v>1</v>
      </c>
      <c r="O47" s="10">
        <v>0</v>
      </c>
      <c r="P47" s="10">
        <v>0</v>
      </c>
      <c r="Q47" s="10">
        <v>10</v>
      </c>
      <c r="R47" s="10">
        <v>146</v>
      </c>
      <c r="S47" s="10">
        <v>6</v>
      </c>
      <c r="T47" s="49">
        <v>0</v>
      </c>
    </row>
    <row r="48" spans="1:20" ht="15.75">
      <c r="A48" s="538"/>
      <c r="B48" s="517"/>
      <c r="C48" s="143" t="s">
        <v>704</v>
      </c>
      <c r="D48" s="24">
        <v>57</v>
      </c>
      <c r="E48" s="10">
        <v>57</v>
      </c>
      <c r="F48" s="10">
        <v>0</v>
      </c>
      <c r="G48" s="10">
        <v>28</v>
      </c>
      <c r="H48" s="10">
        <v>0</v>
      </c>
      <c r="I48" s="10">
        <v>8</v>
      </c>
      <c r="J48" s="10">
        <v>30</v>
      </c>
      <c r="K48" s="10">
        <v>15</v>
      </c>
      <c r="L48" s="10">
        <v>2</v>
      </c>
      <c r="M48" s="10">
        <v>2</v>
      </c>
      <c r="N48" s="10">
        <v>0</v>
      </c>
      <c r="O48" s="10">
        <v>0</v>
      </c>
      <c r="P48" s="10">
        <v>0</v>
      </c>
      <c r="Q48" s="10">
        <v>4</v>
      </c>
      <c r="R48" s="10">
        <v>51</v>
      </c>
      <c r="S48" s="10">
        <v>2</v>
      </c>
      <c r="T48" s="49">
        <v>0</v>
      </c>
    </row>
    <row r="49" ht="19.5" customHeight="1"/>
    <row r="50" ht="15.75">
      <c r="A50" s="268"/>
    </row>
    <row r="51" ht="15.75">
      <c r="A51" s="268"/>
    </row>
    <row r="52" ht="15.75">
      <c r="A52" s="268"/>
    </row>
    <row r="53" spans="1:20" ht="15.75">
      <c r="A53" s="535" t="str">
        <f>"- "&amp;Sheet1!P33&amp;" -"</f>
        <v>- 208 -</v>
      </c>
      <c r="B53" s="535"/>
      <c r="C53" s="535"/>
      <c r="D53" s="535"/>
      <c r="E53" s="535"/>
      <c r="F53" s="535"/>
      <c r="G53" s="535"/>
      <c r="H53" s="535"/>
      <c r="I53" s="535"/>
      <c r="J53" s="535"/>
      <c r="K53" s="535" t="str">
        <f>"- "&amp;Sheet1!Q33&amp;" -"</f>
        <v>- 209 -</v>
      </c>
      <c r="L53" s="535"/>
      <c r="M53" s="535"/>
      <c r="N53" s="535"/>
      <c r="O53" s="535"/>
      <c r="P53" s="535"/>
      <c r="Q53" s="535"/>
      <c r="R53" s="535"/>
      <c r="S53" s="535"/>
      <c r="T53" s="535"/>
    </row>
    <row r="54" ht="15.75">
      <c r="A54" s="268"/>
    </row>
    <row r="55" ht="15.75">
      <c r="A55" s="268"/>
    </row>
    <row r="56" ht="15.75">
      <c r="A56" s="268"/>
    </row>
    <row r="57" ht="15.75">
      <c r="A57" s="268"/>
    </row>
    <row r="58" ht="15.75">
      <c r="A58" s="268"/>
    </row>
    <row r="59" ht="15.75">
      <c r="A59" s="268"/>
    </row>
    <row r="60" spans="1:10" ht="16.5">
      <c r="A60" s="268"/>
      <c r="B60" s="257"/>
      <c r="C60" s="257"/>
      <c r="D60" s="257"/>
      <c r="E60" s="257"/>
      <c r="F60" s="257"/>
      <c r="G60" s="257"/>
      <c r="H60" s="257"/>
      <c r="I60" s="257"/>
      <c r="J60" s="257"/>
    </row>
    <row r="61" spans="2:20" ht="15.75">
      <c r="B61" s="63"/>
      <c r="C61" s="63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2:20" ht="15.75">
      <c r="B62" s="63"/>
      <c r="C62" s="63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ht="16.5" customHeight="1"/>
    <row r="64" ht="15.75">
      <c r="A64" s="63"/>
    </row>
    <row r="65" ht="15.75">
      <c r="A65" s="63"/>
    </row>
  </sheetData>
  <sheetProtection/>
  <mergeCells count="32">
    <mergeCell ref="B40:B42"/>
    <mergeCell ref="A40:A48"/>
    <mergeCell ref="A53:J53"/>
    <mergeCell ref="K53:T53"/>
    <mergeCell ref="B46:B48"/>
    <mergeCell ref="B43:B45"/>
    <mergeCell ref="K5:P5"/>
    <mergeCell ref="L3:S3"/>
    <mergeCell ref="B28:B30"/>
    <mergeCell ref="B31:B33"/>
    <mergeCell ref="B16:B18"/>
    <mergeCell ref="B19:B21"/>
    <mergeCell ref="B22:B24"/>
    <mergeCell ref="B25:B27"/>
    <mergeCell ref="B10:B12"/>
    <mergeCell ref="B13:B15"/>
    <mergeCell ref="A1:J1"/>
    <mergeCell ref="K1:T1"/>
    <mergeCell ref="Q5:T5"/>
    <mergeCell ref="E5:E6"/>
    <mergeCell ref="F5:F6"/>
    <mergeCell ref="G5:G6"/>
    <mergeCell ref="A5:C6"/>
    <mergeCell ref="D5:D6"/>
    <mergeCell ref="C3:I3"/>
    <mergeCell ref="H5:J5"/>
    <mergeCell ref="B7:B9"/>
    <mergeCell ref="A7:A18"/>
    <mergeCell ref="A19:A27"/>
    <mergeCell ref="A28:A39"/>
    <mergeCell ref="B34:B36"/>
    <mergeCell ref="B37:B39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S64"/>
  <sheetViews>
    <sheetView view="pageLayout" zoomScaleSheetLayoutView="85" workbookViewId="0" topLeftCell="A37">
      <selection activeCell="A55" sqref="A55:J55"/>
    </sheetView>
  </sheetViews>
  <sheetFormatPr defaultColWidth="9.00390625" defaultRowHeight="16.5"/>
  <cols>
    <col min="1" max="1" width="7.625" style="92" customWidth="1"/>
    <col min="2" max="2" width="9.125" style="92" customWidth="1"/>
    <col min="3" max="3" width="8.375" style="92" customWidth="1"/>
    <col min="4" max="4" width="10.625" style="89" customWidth="1"/>
    <col min="5" max="5" width="9.75390625" style="89" customWidth="1"/>
    <col min="6" max="6" width="10.375" style="89" customWidth="1"/>
    <col min="7" max="7" width="10.50390625" style="89" customWidth="1"/>
    <col min="8" max="8" width="8.25390625" style="89" customWidth="1"/>
    <col min="9" max="9" width="8.00390625" style="89" customWidth="1"/>
    <col min="10" max="10" width="8.375" style="89" customWidth="1"/>
    <col min="11" max="11" width="8.50390625" style="89" customWidth="1"/>
    <col min="12" max="13" width="8.75390625" style="89" customWidth="1"/>
    <col min="14" max="14" width="8.625" style="89" customWidth="1"/>
    <col min="15" max="15" width="8.75390625" style="89" customWidth="1"/>
    <col min="16" max="16" width="8.375" style="89" customWidth="1"/>
    <col min="17" max="17" width="9.25390625" style="89" customWidth="1"/>
    <col min="18" max="18" width="9.875" style="89" customWidth="1"/>
    <col min="19" max="19" width="10.25390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558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218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712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697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710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722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27"/>
      <c r="E6" s="527"/>
      <c r="F6" s="531"/>
      <c r="G6" s="528"/>
      <c r="H6" s="253" t="s">
        <v>795</v>
      </c>
      <c r="I6" s="253" t="s">
        <v>796</v>
      </c>
      <c r="J6" s="253" t="s">
        <v>797</v>
      </c>
      <c r="K6" s="254" t="s">
        <v>798</v>
      </c>
      <c r="L6" s="254" t="s">
        <v>799</v>
      </c>
      <c r="M6" s="253" t="s">
        <v>800</v>
      </c>
      <c r="N6" s="253" t="s">
        <v>801</v>
      </c>
      <c r="O6" s="253" t="s">
        <v>802</v>
      </c>
      <c r="P6" s="253" t="s">
        <v>803</v>
      </c>
      <c r="Q6" s="256" t="s">
        <v>804</v>
      </c>
      <c r="R6" s="255" t="s">
        <v>805</v>
      </c>
      <c r="S6" s="255" t="s">
        <v>806</v>
      </c>
      <c r="T6" s="119" t="s">
        <v>807</v>
      </c>
    </row>
    <row r="7" spans="1:45" s="93" customFormat="1" ht="13.5" customHeight="1">
      <c r="A7" s="557" t="s">
        <v>130</v>
      </c>
      <c r="B7" s="507" t="s">
        <v>534</v>
      </c>
      <c r="C7" s="141" t="s">
        <v>687</v>
      </c>
      <c r="D7" s="56">
        <f>SUM(D8:D9)</f>
        <v>396</v>
      </c>
      <c r="E7" s="56">
        <f>SUM(E8:E9)</f>
        <v>396</v>
      </c>
      <c r="F7" s="56">
        <f>SUM(F8:F9)</f>
        <v>0</v>
      </c>
      <c r="G7" s="56">
        <v>32</v>
      </c>
      <c r="H7" s="56">
        <f aca="true" t="shared" si="0" ref="H7:T7">SUM(H8:H9)</f>
        <v>0</v>
      </c>
      <c r="I7" s="56">
        <f t="shared" si="0"/>
        <v>23</v>
      </c>
      <c r="J7" s="56">
        <f t="shared" si="0"/>
        <v>140</v>
      </c>
      <c r="K7" s="56">
        <f t="shared" si="0"/>
        <v>125</v>
      </c>
      <c r="L7" s="56">
        <f t="shared" si="0"/>
        <v>80</v>
      </c>
      <c r="M7" s="56">
        <f t="shared" si="0"/>
        <v>28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13</v>
      </c>
      <c r="R7" s="56">
        <f t="shared" si="0"/>
        <v>375</v>
      </c>
      <c r="S7" s="56">
        <f t="shared" si="0"/>
        <v>8</v>
      </c>
      <c r="T7" s="56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58"/>
      <c r="B8" s="516"/>
      <c r="C8" s="143" t="s">
        <v>688</v>
      </c>
      <c r="D8" s="10">
        <v>262</v>
      </c>
      <c r="E8" s="10">
        <v>262</v>
      </c>
      <c r="F8" s="10">
        <v>0</v>
      </c>
      <c r="G8" s="10">
        <v>32</v>
      </c>
      <c r="H8" s="10">
        <v>0</v>
      </c>
      <c r="I8" s="10">
        <v>8</v>
      </c>
      <c r="J8" s="10">
        <v>76</v>
      </c>
      <c r="K8" s="10">
        <v>90</v>
      </c>
      <c r="L8" s="10">
        <v>63</v>
      </c>
      <c r="M8" s="10">
        <v>25</v>
      </c>
      <c r="N8" s="10">
        <v>0</v>
      </c>
      <c r="O8" s="10">
        <v>0</v>
      </c>
      <c r="P8" s="10">
        <v>0</v>
      </c>
      <c r="Q8" s="10">
        <v>9</v>
      </c>
      <c r="R8" s="10">
        <v>247</v>
      </c>
      <c r="S8" s="10">
        <v>6</v>
      </c>
      <c r="T8" s="10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58"/>
      <c r="B9" s="516"/>
      <c r="C9" s="144" t="s">
        <v>689</v>
      </c>
      <c r="D9" s="10">
        <v>134</v>
      </c>
      <c r="E9" s="10">
        <v>134</v>
      </c>
      <c r="F9" s="10">
        <v>0</v>
      </c>
      <c r="G9" s="10">
        <v>29</v>
      </c>
      <c r="H9" s="10">
        <v>0</v>
      </c>
      <c r="I9" s="10">
        <v>15</v>
      </c>
      <c r="J9" s="10">
        <v>64</v>
      </c>
      <c r="K9" s="10">
        <v>35</v>
      </c>
      <c r="L9" s="10">
        <v>17</v>
      </c>
      <c r="M9" s="10">
        <v>3</v>
      </c>
      <c r="N9" s="10">
        <v>0</v>
      </c>
      <c r="O9" s="10">
        <v>0</v>
      </c>
      <c r="P9" s="10">
        <v>0</v>
      </c>
      <c r="Q9" s="10">
        <v>4</v>
      </c>
      <c r="R9" s="10">
        <v>128</v>
      </c>
      <c r="S9" s="10">
        <v>2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s="93" customFormat="1" ht="13.5" customHeight="1">
      <c r="A10" s="558"/>
      <c r="B10" s="507" t="s">
        <v>535</v>
      </c>
      <c r="C10" s="141" t="s">
        <v>687</v>
      </c>
      <c r="D10" s="55">
        <f>SUM(D11:D12)</f>
        <v>239</v>
      </c>
      <c r="E10" s="55">
        <f aca="true" t="shared" si="1" ref="E10:T10">SUM(E11:E12)</f>
        <v>239</v>
      </c>
      <c r="F10" s="55">
        <f t="shared" si="1"/>
        <v>0</v>
      </c>
      <c r="G10" s="55">
        <v>31</v>
      </c>
      <c r="H10" s="55">
        <f t="shared" si="1"/>
        <v>0</v>
      </c>
      <c r="I10" s="55">
        <f t="shared" si="1"/>
        <v>18</v>
      </c>
      <c r="J10" s="55">
        <f t="shared" si="1"/>
        <v>103</v>
      </c>
      <c r="K10" s="55">
        <f t="shared" si="1"/>
        <v>60</v>
      </c>
      <c r="L10" s="55">
        <f t="shared" si="1"/>
        <v>34</v>
      </c>
      <c r="M10" s="55">
        <f t="shared" si="1"/>
        <v>18</v>
      </c>
      <c r="N10" s="55">
        <f t="shared" si="1"/>
        <v>4</v>
      </c>
      <c r="O10" s="55">
        <f t="shared" si="1"/>
        <v>2</v>
      </c>
      <c r="P10" s="55">
        <f t="shared" si="1"/>
        <v>0</v>
      </c>
      <c r="Q10" s="55">
        <f t="shared" si="1"/>
        <v>14</v>
      </c>
      <c r="R10" s="55">
        <f t="shared" si="1"/>
        <v>220</v>
      </c>
      <c r="S10" s="55">
        <f t="shared" si="1"/>
        <v>5</v>
      </c>
      <c r="T10" s="55">
        <f t="shared" si="1"/>
        <v>0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s="93" customFormat="1" ht="13.5" customHeight="1">
      <c r="A11" s="558"/>
      <c r="B11" s="516"/>
      <c r="C11" s="143" t="s">
        <v>688</v>
      </c>
      <c r="D11" s="10">
        <v>157</v>
      </c>
      <c r="E11" s="10">
        <v>157</v>
      </c>
      <c r="F11" s="10">
        <v>0</v>
      </c>
      <c r="G11" s="10">
        <v>32</v>
      </c>
      <c r="H11" s="10">
        <v>0</v>
      </c>
      <c r="I11" s="10">
        <v>4</v>
      </c>
      <c r="J11" s="10">
        <v>60</v>
      </c>
      <c r="K11" s="10">
        <v>44</v>
      </c>
      <c r="L11" s="10">
        <v>26</v>
      </c>
      <c r="M11" s="10">
        <v>17</v>
      </c>
      <c r="N11" s="10">
        <v>4</v>
      </c>
      <c r="O11" s="10">
        <v>2</v>
      </c>
      <c r="P11" s="10">
        <v>0</v>
      </c>
      <c r="Q11" s="10">
        <v>10</v>
      </c>
      <c r="R11" s="10">
        <v>143</v>
      </c>
      <c r="S11" s="10">
        <v>4</v>
      </c>
      <c r="T11" s="10">
        <v>0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s="93" customFormat="1" ht="13.5" customHeight="1">
      <c r="A12" s="558"/>
      <c r="B12" s="516"/>
      <c r="C12" s="144" t="s">
        <v>689</v>
      </c>
      <c r="D12" s="10">
        <v>82</v>
      </c>
      <c r="E12" s="10">
        <v>82</v>
      </c>
      <c r="F12" s="10">
        <v>0</v>
      </c>
      <c r="G12" s="10">
        <v>28</v>
      </c>
      <c r="H12" s="10">
        <v>0</v>
      </c>
      <c r="I12" s="10">
        <v>14</v>
      </c>
      <c r="J12" s="10">
        <v>43</v>
      </c>
      <c r="K12" s="10">
        <v>16</v>
      </c>
      <c r="L12" s="10">
        <v>8</v>
      </c>
      <c r="M12" s="10">
        <v>1</v>
      </c>
      <c r="N12" s="10">
        <v>0</v>
      </c>
      <c r="O12" s="10">
        <v>0</v>
      </c>
      <c r="P12" s="10">
        <v>0</v>
      </c>
      <c r="Q12" s="10">
        <v>4</v>
      </c>
      <c r="R12" s="10">
        <v>77</v>
      </c>
      <c r="S12" s="10">
        <v>1</v>
      </c>
      <c r="T12" s="10"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s="93" customFormat="1" ht="13.5" customHeight="1">
      <c r="A13" s="558"/>
      <c r="B13" s="507" t="s">
        <v>536</v>
      </c>
      <c r="C13" s="141" t="s">
        <v>687</v>
      </c>
      <c r="D13" s="55">
        <f>SUM(D14:D15)</f>
        <v>230</v>
      </c>
      <c r="E13" s="55">
        <f aca="true" t="shared" si="2" ref="E13:T13">SUM(E14:E15)</f>
        <v>230</v>
      </c>
      <c r="F13" s="55">
        <f t="shared" si="2"/>
        <v>0</v>
      </c>
      <c r="G13" s="55">
        <f>SUM(G14:G15)/2</f>
        <v>30</v>
      </c>
      <c r="H13" s="55">
        <f t="shared" si="2"/>
        <v>0</v>
      </c>
      <c r="I13" s="55">
        <f t="shared" si="2"/>
        <v>18</v>
      </c>
      <c r="J13" s="55">
        <f t="shared" si="2"/>
        <v>101</v>
      </c>
      <c r="K13" s="55">
        <f t="shared" si="2"/>
        <v>59</v>
      </c>
      <c r="L13" s="55">
        <f t="shared" si="2"/>
        <v>37</v>
      </c>
      <c r="M13" s="55">
        <f t="shared" si="2"/>
        <v>9</v>
      </c>
      <c r="N13" s="55">
        <f t="shared" si="2"/>
        <v>6</v>
      </c>
      <c r="O13" s="55">
        <f t="shared" si="2"/>
        <v>0</v>
      </c>
      <c r="P13" s="55">
        <f t="shared" si="2"/>
        <v>0</v>
      </c>
      <c r="Q13" s="55">
        <f t="shared" si="2"/>
        <v>85</v>
      </c>
      <c r="R13" s="55">
        <f t="shared" si="2"/>
        <v>135</v>
      </c>
      <c r="S13" s="55">
        <f t="shared" si="2"/>
        <v>10</v>
      </c>
      <c r="T13" s="55">
        <f t="shared" si="2"/>
        <v>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s="93" customFormat="1" ht="13.5" customHeight="1">
      <c r="A14" s="558" t="s">
        <v>131</v>
      </c>
      <c r="B14" s="516"/>
      <c r="C14" s="143" t="s">
        <v>688</v>
      </c>
      <c r="D14" s="10">
        <v>159</v>
      </c>
      <c r="E14" s="10">
        <v>159</v>
      </c>
      <c r="F14" s="10">
        <v>0</v>
      </c>
      <c r="G14" s="10">
        <v>31</v>
      </c>
      <c r="H14" s="10">
        <v>0</v>
      </c>
      <c r="I14" s="10">
        <v>7</v>
      </c>
      <c r="J14" s="10">
        <v>67</v>
      </c>
      <c r="K14" s="10">
        <v>45</v>
      </c>
      <c r="L14" s="10">
        <v>28</v>
      </c>
      <c r="M14" s="10">
        <v>7</v>
      </c>
      <c r="N14" s="10">
        <v>5</v>
      </c>
      <c r="O14" s="10">
        <v>0</v>
      </c>
      <c r="P14" s="10">
        <v>0</v>
      </c>
      <c r="Q14" s="10">
        <v>67</v>
      </c>
      <c r="R14" s="10">
        <v>84</v>
      </c>
      <c r="S14" s="10">
        <v>8</v>
      </c>
      <c r="T14" s="10">
        <v>0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s="93" customFormat="1" ht="13.5" customHeight="1">
      <c r="A15" s="558"/>
      <c r="B15" s="516"/>
      <c r="C15" s="144" t="s">
        <v>689</v>
      </c>
      <c r="D15" s="10">
        <v>71</v>
      </c>
      <c r="E15" s="10">
        <v>71</v>
      </c>
      <c r="F15" s="10">
        <v>0</v>
      </c>
      <c r="G15" s="10">
        <v>29</v>
      </c>
      <c r="H15" s="10">
        <v>0</v>
      </c>
      <c r="I15" s="10">
        <v>11</v>
      </c>
      <c r="J15" s="10">
        <v>34</v>
      </c>
      <c r="K15" s="10">
        <v>14</v>
      </c>
      <c r="L15" s="10">
        <v>9</v>
      </c>
      <c r="M15" s="10">
        <v>2</v>
      </c>
      <c r="N15" s="10">
        <v>1</v>
      </c>
      <c r="O15" s="10">
        <v>0</v>
      </c>
      <c r="P15" s="10">
        <v>0</v>
      </c>
      <c r="Q15" s="10">
        <v>18</v>
      </c>
      <c r="R15" s="10">
        <v>51</v>
      </c>
      <c r="S15" s="10">
        <v>2</v>
      </c>
      <c r="T15" s="10">
        <v>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s="93" customFormat="1" ht="13.5" customHeight="1">
      <c r="A16" s="558"/>
      <c r="B16" s="507" t="s">
        <v>537</v>
      </c>
      <c r="C16" s="141" t="s">
        <v>702</v>
      </c>
      <c r="D16" s="55">
        <f>SUM(D17:D18)</f>
        <v>193</v>
      </c>
      <c r="E16" s="55">
        <v>193</v>
      </c>
      <c r="F16" s="55">
        <v>0</v>
      </c>
      <c r="G16" s="55">
        <v>31</v>
      </c>
      <c r="H16" s="55">
        <v>0</v>
      </c>
      <c r="I16" s="55">
        <v>7</v>
      </c>
      <c r="J16" s="55">
        <v>87</v>
      </c>
      <c r="K16" s="55">
        <v>61</v>
      </c>
      <c r="L16" s="55">
        <v>20</v>
      </c>
      <c r="M16" s="55">
        <v>8</v>
      </c>
      <c r="N16" s="55">
        <v>6</v>
      </c>
      <c r="O16" s="55">
        <v>2</v>
      </c>
      <c r="P16" s="55">
        <v>2</v>
      </c>
      <c r="Q16" s="55">
        <v>74</v>
      </c>
      <c r="R16" s="55">
        <v>115</v>
      </c>
      <c r="S16" s="55">
        <v>4</v>
      </c>
      <c r="T16" s="55">
        <v>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s="93" customFormat="1" ht="13.5" customHeight="1">
      <c r="A17" s="558"/>
      <c r="B17" s="516"/>
      <c r="C17" s="143" t="s">
        <v>703</v>
      </c>
      <c r="D17" s="10">
        <v>109</v>
      </c>
      <c r="E17" s="10">
        <v>109</v>
      </c>
      <c r="F17" s="10">
        <v>0</v>
      </c>
      <c r="G17" s="10">
        <v>32</v>
      </c>
      <c r="H17" s="10">
        <v>0</v>
      </c>
      <c r="I17" s="10">
        <v>1</v>
      </c>
      <c r="J17" s="10">
        <v>42</v>
      </c>
      <c r="K17" s="10">
        <v>36</v>
      </c>
      <c r="L17" s="10">
        <v>14</v>
      </c>
      <c r="M17" s="10">
        <v>8</v>
      </c>
      <c r="N17" s="10">
        <v>4</v>
      </c>
      <c r="O17" s="10">
        <v>2</v>
      </c>
      <c r="P17" s="10">
        <v>2</v>
      </c>
      <c r="Q17" s="10">
        <v>36</v>
      </c>
      <c r="R17" s="10">
        <v>71</v>
      </c>
      <c r="S17" s="10">
        <v>2</v>
      </c>
      <c r="T17" s="10">
        <v>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s="93" customFormat="1" ht="13.5" customHeight="1">
      <c r="A18" s="563"/>
      <c r="B18" s="516"/>
      <c r="C18" s="144" t="s">
        <v>704</v>
      </c>
      <c r="D18" s="10">
        <v>84</v>
      </c>
      <c r="E18" s="10">
        <v>84</v>
      </c>
      <c r="F18" s="10">
        <v>0</v>
      </c>
      <c r="G18" s="10">
        <v>29</v>
      </c>
      <c r="H18" s="10">
        <v>0</v>
      </c>
      <c r="I18" s="10">
        <v>6</v>
      </c>
      <c r="J18" s="10">
        <v>45</v>
      </c>
      <c r="K18" s="10">
        <v>25</v>
      </c>
      <c r="L18" s="10">
        <v>6</v>
      </c>
      <c r="M18" s="10">
        <v>0</v>
      </c>
      <c r="N18" s="10">
        <v>2</v>
      </c>
      <c r="O18" s="10">
        <v>0</v>
      </c>
      <c r="P18" s="10">
        <v>0</v>
      </c>
      <c r="Q18" s="10">
        <v>38</v>
      </c>
      <c r="R18" s="10">
        <v>44</v>
      </c>
      <c r="S18" s="10">
        <v>2</v>
      </c>
      <c r="T18" s="10">
        <v>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20" s="93" customFormat="1" ht="13.5" customHeight="1">
      <c r="A19" s="541" t="s">
        <v>133</v>
      </c>
      <c r="B19" s="536" t="s">
        <v>518</v>
      </c>
      <c r="C19" s="141" t="s">
        <v>702</v>
      </c>
      <c r="D19" s="140">
        <f>SUM(D22,D25,D28,D31,D34,D37,D40,D43,D46)</f>
        <v>215</v>
      </c>
      <c r="E19" s="56">
        <f aca="true" t="shared" si="3" ref="E19:S19">SUM(E22,E25,E28,E31,E34,E37,E40,E43,E46)</f>
        <v>215</v>
      </c>
      <c r="F19" s="56">
        <f t="shared" si="3"/>
        <v>0</v>
      </c>
      <c r="G19" s="56">
        <f>SUM(G22,G25,G28,G31,G34,G37,G40,G43,G46)/9</f>
        <v>33.27777777777778</v>
      </c>
      <c r="H19" s="56">
        <f t="shared" si="3"/>
        <v>0</v>
      </c>
      <c r="I19" s="56">
        <f t="shared" si="3"/>
        <v>2</v>
      </c>
      <c r="J19" s="56">
        <f t="shared" si="3"/>
        <v>60</v>
      </c>
      <c r="K19" s="56">
        <f t="shared" si="3"/>
        <v>96</v>
      </c>
      <c r="L19" s="56">
        <f t="shared" si="3"/>
        <v>30</v>
      </c>
      <c r="M19" s="56">
        <f t="shared" si="3"/>
        <v>18</v>
      </c>
      <c r="N19" s="56">
        <f t="shared" si="3"/>
        <v>6</v>
      </c>
      <c r="O19" s="56">
        <f t="shared" si="3"/>
        <v>3</v>
      </c>
      <c r="P19" s="56">
        <f t="shared" si="3"/>
        <v>0</v>
      </c>
      <c r="Q19" s="56">
        <f t="shared" si="3"/>
        <v>74</v>
      </c>
      <c r="R19" s="56">
        <f t="shared" si="3"/>
        <v>132</v>
      </c>
      <c r="S19" s="56">
        <f t="shared" si="3"/>
        <v>0</v>
      </c>
      <c r="T19" s="56">
        <v>0</v>
      </c>
    </row>
    <row r="20" spans="1:20" s="93" customFormat="1" ht="13.5" customHeight="1">
      <c r="A20" s="542"/>
      <c r="B20" s="492"/>
      <c r="C20" s="143" t="s">
        <v>703</v>
      </c>
      <c r="D20" s="10">
        <f aca="true" t="shared" si="4" ref="D20:S21">SUM(D23,D26,D29,D32,D35,D38,D41,D44,D47)</f>
        <v>182</v>
      </c>
      <c r="E20" s="10">
        <f t="shared" si="4"/>
        <v>182</v>
      </c>
      <c r="F20" s="10">
        <f t="shared" si="4"/>
        <v>0</v>
      </c>
      <c r="G20" s="10">
        <v>33</v>
      </c>
      <c r="H20" s="10">
        <f t="shared" si="4"/>
        <v>0</v>
      </c>
      <c r="I20" s="10">
        <f t="shared" si="4"/>
        <v>2</v>
      </c>
      <c r="J20" s="10">
        <f t="shared" si="4"/>
        <v>42</v>
      </c>
      <c r="K20" s="10">
        <f t="shared" si="4"/>
        <v>86</v>
      </c>
      <c r="L20" s="10">
        <f t="shared" si="4"/>
        <v>28</v>
      </c>
      <c r="M20" s="10">
        <f t="shared" si="4"/>
        <v>16</v>
      </c>
      <c r="N20" s="10">
        <f t="shared" si="4"/>
        <v>5</v>
      </c>
      <c r="O20" s="10">
        <f t="shared" si="4"/>
        <v>3</v>
      </c>
      <c r="P20" s="10">
        <f t="shared" si="4"/>
        <v>0</v>
      </c>
      <c r="Q20" s="10">
        <f t="shared" si="4"/>
        <v>64</v>
      </c>
      <c r="R20" s="10">
        <f t="shared" si="4"/>
        <v>115</v>
      </c>
      <c r="S20" s="10">
        <f t="shared" si="4"/>
        <v>0</v>
      </c>
      <c r="T20" s="10">
        <f>SUM(T23,T26,T29,T32,T35,T38,T41,T44,T47)</f>
        <v>0</v>
      </c>
    </row>
    <row r="21" spans="1:20" s="93" customFormat="1" ht="13.5" customHeight="1">
      <c r="A21" s="542"/>
      <c r="B21" s="493"/>
      <c r="C21" s="144" t="s">
        <v>704</v>
      </c>
      <c r="D21" s="10">
        <f t="shared" si="4"/>
        <v>33</v>
      </c>
      <c r="E21" s="10">
        <f t="shared" si="4"/>
        <v>33</v>
      </c>
      <c r="F21" s="10">
        <f t="shared" si="4"/>
        <v>0</v>
      </c>
      <c r="G21" s="10">
        <v>30</v>
      </c>
      <c r="H21" s="10">
        <f t="shared" si="4"/>
        <v>0</v>
      </c>
      <c r="I21" s="10">
        <f t="shared" si="4"/>
        <v>0</v>
      </c>
      <c r="J21" s="10">
        <f t="shared" si="4"/>
        <v>18</v>
      </c>
      <c r="K21" s="10">
        <f t="shared" si="4"/>
        <v>10</v>
      </c>
      <c r="L21" s="10">
        <f t="shared" si="4"/>
        <v>2</v>
      </c>
      <c r="M21" s="10">
        <f t="shared" si="4"/>
        <v>2</v>
      </c>
      <c r="N21" s="10">
        <f t="shared" si="4"/>
        <v>1</v>
      </c>
      <c r="O21" s="10">
        <f t="shared" si="4"/>
        <v>0</v>
      </c>
      <c r="P21" s="10">
        <f t="shared" si="4"/>
        <v>0</v>
      </c>
      <c r="Q21" s="10">
        <f t="shared" si="4"/>
        <v>10</v>
      </c>
      <c r="R21" s="10">
        <f t="shared" si="4"/>
        <v>17</v>
      </c>
      <c r="S21" s="10">
        <f t="shared" si="4"/>
        <v>0</v>
      </c>
      <c r="T21" s="10">
        <f>SUM(T24,T27,T30,T33,T36,T39,T42,T45,T48)</f>
        <v>0</v>
      </c>
    </row>
    <row r="22" spans="1:20" s="93" customFormat="1" ht="13.5" customHeight="1">
      <c r="A22" s="542"/>
      <c r="B22" s="491" t="s">
        <v>520</v>
      </c>
      <c r="C22" s="141" t="s">
        <v>702</v>
      </c>
      <c r="D22" s="55">
        <f>SUM(D23:D24)</f>
        <v>9</v>
      </c>
      <c r="E22" s="55">
        <f aca="true" t="shared" si="5" ref="E22:T22">SUM(E23:E24)</f>
        <v>9</v>
      </c>
      <c r="F22" s="55">
        <f t="shared" si="5"/>
        <v>0</v>
      </c>
      <c r="G22" s="55">
        <v>38</v>
      </c>
      <c r="H22" s="55">
        <f t="shared" si="5"/>
        <v>0</v>
      </c>
      <c r="I22" s="55">
        <f t="shared" si="5"/>
        <v>0</v>
      </c>
      <c r="J22" s="55">
        <f t="shared" si="5"/>
        <v>2</v>
      </c>
      <c r="K22" s="55">
        <f t="shared" si="5"/>
        <v>1</v>
      </c>
      <c r="L22" s="55">
        <f t="shared" si="5"/>
        <v>2</v>
      </c>
      <c r="M22" s="55">
        <f t="shared" si="5"/>
        <v>1</v>
      </c>
      <c r="N22" s="55">
        <f t="shared" si="5"/>
        <v>1</v>
      </c>
      <c r="O22" s="55">
        <f t="shared" si="5"/>
        <v>2</v>
      </c>
      <c r="P22" s="55">
        <f t="shared" si="5"/>
        <v>0</v>
      </c>
      <c r="Q22" s="55">
        <f t="shared" si="5"/>
        <v>0</v>
      </c>
      <c r="R22" s="55">
        <f t="shared" si="5"/>
        <v>0</v>
      </c>
      <c r="S22" s="55">
        <f t="shared" si="5"/>
        <v>0</v>
      </c>
      <c r="T22" s="55">
        <f t="shared" si="5"/>
        <v>0</v>
      </c>
    </row>
    <row r="23" spans="1:20" s="93" customFormat="1" ht="13.5" customHeight="1">
      <c r="A23" s="542"/>
      <c r="B23" s="492"/>
      <c r="C23" s="143" t="s">
        <v>703</v>
      </c>
      <c r="D23" s="49">
        <v>3</v>
      </c>
      <c r="E23" s="49">
        <v>3</v>
      </c>
      <c r="F23" s="58">
        <v>0</v>
      </c>
      <c r="G23" s="49">
        <v>44</v>
      </c>
      <c r="H23" s="49">
        <v>0</v>
      </c>
      <c r="I23" s="49">
        <v>0</v>
      </c>
      <c r="J23" s="59">
        <v>0</v>
      </c>
      <c r="K23" s="58">
        <v>1</v>
      </c>
      <c r="L23" s="58">
        <v>0</v>
      </c>
      <c r="M23" s="58">
        <v>0</v>
      </c>
      <c r="N23" s="58">
        <v>0</v>
      </c>
      <c r="O23" s="58">
        <v>2</v>
      </c>
      <c r="P23" s="58">
        <v>0</v>
      </c>
      <c r="Q23" s="58">
        <v>0</v>
      </c>
      <c r="R23" s="58">
        <v>0</v>
      </c>
      <c r="S23" s="58">
        <v>0</v>
      </c>
      <c r="T23" s="62">
        <v>0</v>
      </c>
    </row>
    <row r="24" spans="1:20" s="93" customFormat="1" ht="13.5" customHeight="1">
      <c r="A24" s="542"/>
      <c r="B24" s="493"/>
      <c r="C24" s="144" t="s">
        <v>704</v>
      </c>
      <c r="D24" s="49">
        <v>6</v>
      </c>
      <c r="E24" s="49">
        <v>6</v>
      </c>
      <c r="F24" s="58">
        <v>0</v>
      </c>
      <c r="G24" s="49">
        <v>35</v>
      </c>
      <c r="H24" s="49">
        <v>0</v>
      </c>
      <c r="I24" s="49">
        <v>0</v>
      </c>
      <c r="J24" s="59">
        <v>2</v>
      </c>
      <c r="K24" s="58">
        <v>0</v>
      </c>
      <c r="L24" s="58">
        <v>2</v>
      </c>
      <c r="M24" s="58">
        <v>1</v>
      </c>
      <c r="N24" s="58">
        <v>1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62">
        <v>0</v>
      </c>
    </row>
    <row r="25" spans="1:20" s="93" customFormat="1" ht="13.5" customHeight="1">
      <c r="A25" s="542"/>
      <c r="B25" s="491" t="s">
        <v>521</v>
      </c>
      <c r="C25" s="141" t="s">
        <v>702</v>
      </c>
      <c r="D25" s="55">
        <f>SUM(D26:D27)</f>
        <v>69</v>
      </c>
      <c r="E25" s="55">
        <f aca="true" t="shared" si="6" ref="E25:T25">SUM(E26:E27)</f>
        <v>69</v>
      </c>
      <c r="F25" s="55">
        <f t="shared" si="6"/>
        <v>0</v>
      </c>
      <c r="G25" s="55">
        <v>31</v>
      </c>
      <c r="H25" s="55">
        <f t="shared" si="6"/>
        <v>0</v>
      </c>
      <c r="I25" s="55">
        <f t="shared" si="6"/>
        <v>1</v>
      </c>
      <c r="J25" s="55">
        <f t="shared" si="6"/>
        <v>17</v>
      </c>
      <c r="K25" s="55">
        <f t="shared" si="6"/>
        <v>42</v>
      </c>
      <c r="L25" s="55">
        <f t="shared" si="6"/>
        <v>7</v>
      </c>
      <c r="M25" s="55">
        <f t="shared" si="6"/>
        <v>1</v>
      </c>
      <c r="N25" s="55">
        <f t="shared" si="6"/>
        <v>1</v>
      </c>
      <c r="O25" s="55">
        <f t="shared" si="6"/>
        <v>0</v>
      </c>
      <c r="P25" s="55">
        <f t="shared" si="6"/>
        <v>0</v>
      </c>
      <c r="Q25" s="55">
        <f t="shared" si="6"/>
        <v>2</v>
      </c>
      <c r="R25" s="55">
        <f t="shared" si="6"/>
        <v>67</v>
      </c>
      <c r="S25" s="55">
        <f t="shared" si="6"/>
        <v>0</v>
      </c>
      <c r="T25" s="55">
        <f t="shared" si="6"/>
        <v>0</v>
      </c>
    </row>
    <row r="26" spans="1:20" s="93" customFormat="1" ht="13.5" customHeight="1">
      <c r="A26" s="542"/>
      <c r="B26" s="492"/>
      <c r="C26" s="143" t="s">
        <v>703</v>
      </c>
      <c r="D26" s="49">
        <v>64</v>
      </c>
      <c r="E26" s="49">
        <v>64</v>
      </c>
      <c r="F26" s="49">
        <v>0</v>
      </c>
      <c r="G26" s="49">
        <v>31</v>
      </c>
      <c r="H26" s="49">
        <v>0</v>
      </c>
      <c r="I26" s="49">
        <v>1</v>
      </c>
      <c r="J26" s="49">
        <v>13</v>
      </c>
      <c r="K26" s="49">
        <v>41</v>
      </c>
      <c r="L26" s="49">
        <v>7</v>
      </c>
      <c r="M26" s="49">
        <v>1</v>
      </c>
      <c r="N26" s="49">
        <v>1</v>
      </c>
      <c r="O26" s="49">
        <v>0</v>
      </c>
      <c r="P26" s="49">
        <v>0</v>
      </c>
      <c r="Q26" s="49">
        <v>2</v>
      </c>
      <c r="R26" s="49">
        <v>62</v>
      </c>
      <c r="S26" s="49">
        <v>0</v>
      </c>
      <c r="T26" s="49">
        <v>0</v>
      </c>
    </row>
    <row r="27" spans="1:20" s="93" customFormat="1" ht="13.5" customHeight="1">
      <c r="A27" s="542"/>
      <c r="B27" s="492"/>
      <c r="C27" s="144" t="s">
        <v>704</v>
      </c>
      <c r="D27" s="49">
        <v>5</v>
      </c>
      <c r="E27" s="49">
        <v>5</v>
      </c>
      <c r="F27" s="49">
        <v>0</v>
      </c>
      <c r="G27" s="49">
        <v>27</v>
      </c>
      <c r="H27" s="49">
        <v>0</v>
      </c>
      <c r="I27" s="49">
        <v>0</v>
      </c>
      <c r="J27" s="49">
        <v>4</v>
      </c>
      <c r="K27" s="49">
        <v>1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5</v>
      </c>
      <c r="S27" s="49">
        <v>0</v>
      </c>
      <c r="T27" s="49">
        <v>0</v>
      </c>
    </row>
    <row r="28" spans="1:20" s="93" customFormat="1" ht="13.5" customHeight="1">
      <c r="A28" s="542"/>
      <c r="B28" s="491" t="s">
        <v>522</v>
      </c>
      <c r="C28" s="141" t="s">
        <v>702</v>
      </c>
      <c r="D28" s="55">
        <v>1</v>
      </c>
      <c r="E28" s="55">
        <v>1</v>
      </c>
      <c r="F28" s="55">
        <v>0</v>
      </c>
      <c r="G28" s="55">
        <v>30</v>
      </c>
      <c r="H28" s="55">
        <v>0</v>
      </c>
      <c r="I28" s="55">
        <v>0</v>
      </c>
      <c r="J28" s="55">
        <v>0</v>
      </c>
      <c r="K28" s="55">
        <v>1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1</v>
      </c>
      <c r="S28" s="55">
        <v>0</v>
      </c>
      <c r="T28" s="55">
        <v>0</v>
      </c>
    </row>
    <row r="29" spans="1:20" s="93" customFormat="1" ht="13.5" customHeight="1">
      <c r="A29" s="542"/>
      <c r="B29" s="492"/>
      <c r="C29" s="143" t="s">
        <v>703</v>
      </c>
      <c r="D29" s="49">
        <v>1</v>
      </c>
      <c r="E29" s="49">
        <v>1</v>
      </c>
      <c r="F29" s="58">
        <v>0</v>
      </c>
      <c r="G29" s="49">
        <v>30</v>
      </c>
      <c r="H29" s="49">
        <v>0</v>
      </c>
      <c r="I29" s="49">
        <v>0</v>
      </c>
      <c r="J29" s="59">
        <v>0</v>
      </c>
      <c r="K29" s="58">
        <v>1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1</v>
      </c>
      <c r="S29" s="58">
        <v>0</v>
      </c>
      <c r="T29" s="58">
        <v>0</v>
      </c>
    </row>
    <row r="30" spans="1:20" s="93" customFormat="1" ht="13.5" customHeight="1">
      <c r="A30" s="542"/>
      <c r="B30" s="492"/>
      <c r="C30" s="144" t="s">
        <v>704</v>
      </c>
      <c r="D30" s="49">
        <v>0</v>
      </c>
      <c r="E30" s="49">
        <v>0</v>
      </c>
      <c r="F30" s="58">
        <v>0</v>
      </c>
      <c r="G30" s="49">
        <v>0</v>
      </c>
      <c r="H30" s="49">
        <v>0</v>
      </c>
      <c r="I30" s="49">
        <v>0</v>
      </c>
      <c r="J30" s="59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</row>
    <row r="31" spans="1:20" s="93" customFormat="1" ht="13.5" customHeight="1">
      <c r="A31" s="542"/>
      <c r="B31" s="491" t="s">
        <v>532</v>
      </c>
      <c r="C31" s="141" t="s">
        <v>702</v>
      </c>
      <c r="D31" s="55">
        <v>2</v>
      </c>
      <c r="E31" s="55">
        <v>2</v>
      </c>
      <c r="F31" s="55">
        <v>0</v>
      </c>
      <c r="G31" s="55">
        <v>38</v>
      </c>
      <c r="H31" s="55">
        <v>0</v>
      </c>
      <c r="I31" s="55">
        <v>0</v>
      </c>
      <c r="J31" s="55">
        <v>0</v>
      </c>
      <c r="K31" s="55">
        <v>1</v>
      </c>
      <c r="L31" s="55">
        <v>0</v>
      </c>
      <c r="M31" s="55">
        <v>1</v>
      </c>
      <c r="N31" s="55">
        <v>0</v>
      </c>
      <c r="O31" s="55">
        <v>0</v>
      </c>
      <c r="P31" s="55">
        <v>0</v>
      </c>
      <c r="Q31" s="55">
        <v>0</v>
      </c>
      <c r="R31" s="55">
        <v>2</v>
      </c>
      <c r="S31" s="55">
        <v>0</v>
      </c>
      <c r="T31" s="55">
        <v>0</v>
      </c>
    </row>
    <row r="32" spans="1:20" s="93" customFormat="1" ht="13.5" customHeight="1">
      <c r="A32" s="542"/>
      <c r="B32" s="492"/>
      <c r="C32" s="143" t="s">
        <v>703</v>
      </c>
      <c r="D32" s="49">
        <v>2</v>
      </c>
      <c r="E32" s="49">
        <v>2</v>
      </c>
      <c r="F32" s="58">
        <v>0</v>
      </c>
      <c r="G32" s="49">
        <v>38</v>
      </c>
      <c r="H32" s="49">
        <v>0</v>
      </c>
      <c r="I32" s="49">
        <v>0</v>
      </c>
      <c r="J32" s="59">
        <v>0</v>
      </c>
      <c r="K32" s="58">
        <v>1</v>
      </c>
      <c r="L32" s="58">
        <v>0</v>
      </c>
      <c r="M32" s="58">
        <v>1</v>
      </c>
      <c r="N32" s="58">
        <v>0</v>
      </c>
      <c r="O32" s="58">
        <v>0</v>
      </c>
      <c r="P32" s="58">
        <v>0</v>
      </c>
      <c r="Q32" s="58">
        <v>0</v>
      </c>
      <c r="R32" s="58">
        <v>2</v>
      </c>
      <c r="S32" s="58">
        <v>0</v>
      </c>
      <c r="T32" s="58">
        <v>0</v>
      </c>
    </row>
    <row r="33" spans="1:20" s="93" customFormat="1" ht="13.5" customHeight="1">
      <c r="A33" s="538" t="s">
        <v>559</v>
      </c>
      <c r="B33" s="493"/>
      <c r="C33" s="144" t="s">
        <v>704</v>
      </c>
      <c r="D33" s="49">
        <v>0</v>
      </c>
      <c r="E33" s="49">
        <v>0</v>
      </c>
      <c r="F33" s="58">
        <v>0</v>
      </c>
      <c r="G33" s="49">
        <v>0</v>
      </c>
      <c r="H33" s="49">
        <v>0</v>
      </c>
      <c r="I33" s="49">
        <v>0</v>
      </c>
      <c r="J33" s="59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</row>
    <row r="34" spans="1:20" s="93" customFormat="1" ht="13.5" customHeight="1">
      <c r="A34" s="538"/>
      <c r="B34" s="514" t="s">
        <v>533</v>
      </c>
      <c r="C34" s="141" t="s">
        <v>702</v>
      </c>
      <c r="D34" s="55">
        <f>SUM(D35:D36)</f>
        <v>44</v>
      </c>
      <c r="E34" s="55">
        <f aca="true" t="shared" si="7" ref="E34:T34">SUM(E35:E36)</f>
        <v>44</v>
      </c>
      <c r="F34" s="55">
        <f t="shared" si="7"/>
        <v>0</v>
      </c>
      <c r="G34" s="55">
        <f>SUM(G35:G36)/2</f>
        <v>31.5</v>
      </c>
      <c r="H34" s="55">
        <f t="shared" si="7"/>
        <v>0</v>
      </c>
      <c r="I34" s="55">
        <f t="shared" si="7"/>
        <v>0</v>
      </c>
      <c r="J34" s="55">
        <f t="shared" si="7"/>
        <v>13</v>
      </c>
      <c r="K34" s="55">
        <f t="shared" si="7"/>
        <v>19</v>
      </c>
      <c r="L34" s="55">
        <f t="shared" si="7"/>
        <v>8</v>
      </c>
      <c r="M34" s="55">
        <f t="shared" si="7"/>
        <v>2</v>
      </c>
      <c r="N34" s="55">
        <f t="shared" si="7"/>
        <v>2</v>
      </c>
      <c r="O34" s="55">
        <f t="shared" si="7"/>
        <v>0</v>
      </c>
      <c r="P34" s="55">
        <f t="shared" si="7"/>
        <v>0</v>
      </c>
      <c r="Q34" s="55">
        <f t="shared" si="7"/>
        <v>16</v>
      </c>
      <c r="R34" s="55">
        <f t="shared" si="7"/>
        <v>28</v>
      </c>
      <c r="S34" s="55">
        <f t="shared" si="7"/>
        <v>0</v>
      </c>
      <c r="T34" s="55">
        <f t="shared" si="7"/>
        <v>0</v>
      </c>
    </row>
    <row r="35" spans="1:20" s="93" customFormat="1" ht="13.5" customHeight="1">
      <c r="A35" s="538"/>
      <c r="B35" s="514"/>
      <c r="C35" s="143" t="s">
        <v>703</v>
      </c>
      <c r="D35" s="49">
        <v>34</v>
      </c>
      <c r="E35" s="49">
        <v>34</v>
      </c>
      <c r="F35" s="58">
        <v>0</v>
      </c>
      <c r="G35" s="49">
        <v>33</v>
      </c>
      <c r="H35" s="49">
        <v>0</v>
      </c>
      <c r="I35" s="49">
        <v>0</v>
      </c>
      <c r="J35" s="59">
        <v>8</v>
      </c>
      <c r="K35" s="58">
        <v>15</v>
      </c>
      <c r="L35" s="58">
        <v>8</v>
      </c>
      <c r="M35" s="58">
        <v>1</v>
      </c>
      <c r="N35" s="58">
        <v>2</v>
      </c>
      <c r="O35" s="58">
        <v>0</v>
      </c>
      <c r="P35" s="58">
        <v>0</v>
      </c>
      <c r="Q35" s="58">
        <v>12</v>
      </c>
      <c r="R35" s="58">
        <v>22</v>
      </c>
      <c r="S35" s="58">
        <v>0</v>
      </c>
      <c r="T35" s="62">
        <v>0</v>
      </c>
    </row>
    <row r="36" spans="1:20" s="93" customFormat="1" ht="13.5" customHeight="1">
      <c r="A36" s="538"/>
      <c r="B36" s="514"/>
      <c r="C36" s="144" t="s">
        <v>704</v>
      </c>
      <c r="D36" s="49">
        <v>10</v>
      </c>
      <c r="E36" s="49">
        <v>10</v>
      </c>
      <c r="F36" s="58">
        <v>0</v>
      </c>
      <c r="G36" s="49">
        <v>30</v>
      </c>
      <c r="H36" s="49">
        <v>0</v>
      </c>
      <c r="I36" s="49">
        <v>0</v>
      </c>
      <c r="J36" s="59">
        <v>5</v>
      </c>
      <c r="K36" s="58">
        <v>4</v>
      </c>
      <c r="L36" s="58">
        <v>0</v>
      </c>
      <c r="M36" s="58">
        <v>1</v>
      </c>
      <c r="N36" s="58">
        <v>0</v>
      </c>
      <c r="O36" s="58">
        <v>0</v>
      </c>
      <c r="P36" s="58">
        <v>0</v>
      </c>
      <c r="Q36" s="58">
        <v>4</v>
      </c>
      <c r="R36" s="58">
        <v>6</v>
      </c>
      <c r="S36" s="58">
        <v>0</v>
      </c>
      <c r="T36" s="62">
        <v>0</v>
      </c>
    </row>
    <row r="37" spans="1:20" s="93" customFormat="1" ht="13.5" customHeight="1">
      <c r="A37" s="538"/>
      <c r="B37" s="491" t="s">
        <v>534</v>
      </c>
      <c r="C37" s="141" t="s">
        <v>702</v>
      </c>
      <c r="D37" s="55">
        <f>SUM(D38:D39)</f>
        <v>23</v>
      </c>
      <c r="E37" s="55">
        <f aca="true" t="shared" si="8" ref="E37:T37">SUM(E38:E39)</f>
        <v>23</v>
      </c>
      <c r="F37" s="55">
        <f t="shared" si="8"/>
        <v>0</v>
      </c>
      <c r="G37" s="55">
        <v>31</v>
      </c>
      <c r="H37" s="55">
        <f t="shared" si="8"/>
        <v>0</v>
      </c>
      <c r="I37" s="55">
        <f t="shared" si="8"/>
        <v>0</v>
      </c>
      <c r="J37" s="55">
        <f t="shared" si="8"/>
        <v>9</v>
      </c>
      <c r="K37" s="55">
        <f t="shared" si="8"/>
        <v>9</v>
      </c>
      <c r="L37" s="55">
        <f t="shared" si="8"/>
        <v>3</v>
      </c>
      <c r="M37" s="55">
        <f t="shared" si="8"/>
        <v>2</v>
      </c>
      <c r="N37" s="55">
        <f t="shared" si="8"/>
        <v>0</v>
      </c>
      <c r="O37" s="55">
        <f t="shared" si="8"/>
        <v>0</v>
      </c>
      <c r="P37" s="55">
        <f t="shared" si="8"/>
        <v>0</v>
      </c>
      <c r="Q37" s="55">
        <f t="shared" si="8"/>
        <v>5</v>
      </c>
      <c r="R37" s="55">
        <f t="shared" si="8"/>
        <v>18</v>
      </c>
      <c r="S37" s="55">
        <f t="shared" si="8"/>
        <v>0</v>
      </c>
      <c r="T37" s="55">
        <f t="shared" si="8"/>
        <v>0</v>
      </c>
    </row>
    <row r="38" spans="1:21" s="93" customFormat="1" ht="13.5" customHeight="1">
      <c r="A38" s="538"/>
      <c r="B38" s="492"/>
      <c r="C38" s="143" t="s">
        <v>703</v>
      </c>
      <c r="D38" s="49">
        <v>19</v>
      </c>
      <c r="E38" s="49">
        <v>19</v>
      </c>
      <c r="F38" s="58">
        <v>0</v>
      </c>
      <c r="G38" s="49">
        <v>32</v>
      </c>
      <c r="H38" s="49">
        <v>0</v>
      </c>
      <c r="I38" s="49">
        <v>0</v>
      </c>
      <c r="J38" s="59">
        <v>6</v>
      </c>
      <c r="K38" s="58">
        <v>8</v>
      </c>
      <c r="L38" s="58">
        <v>3</v>
      </c>
      <c r="M38" s="58">
        <v>2</v>
      </c>
      <c r="N38" s="58">
        <v>0</v>
      </c>
      <c r="O38" s="58">
        <v>0</v>
      </c>
      <c r="P38" s="58">
        <v>0</v>
      </c>
      <c r="Q38" s="58">
        <v>5</v>
      </c>
      <c r="R38" s="58">
        <v>14</v>
      </c>
      <c r="S38" s="58">
        <v>0</v>
      </c>
      <c r="T38" s="62">
        <v>0</v>
      </c>
      <c r="U38" s="94"/>
    </row>
    <row r="39" spans="1:21" s="93" customFormat="1" ht="13.5" customHeight="1">
      <c r="A39" s="538"/>
      <c r="B39" s="493"/>
      <c r="C39" s="144" t="s">
        <v>704</v>
      </c>
      <c r="D39" s="49">
        <v>4</v>
      </c>
      <c r="E39" s="49">
        <v>4</v>
      </c>
      <c r="F39" s="58">
        <v>0</v>
      </c>
      <c r="G39" s="49">
        <v>27</v>
      </c>
      <c r="H39" s="49">
        <v>0</v>
      </c>
      <c r="I39" s="49">
        <v>0</v>
      </c>
      <c r="J39" s="59">
        <v>3</v>
      </c>
      <c r="K39" s="58">
        <v>1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4</v>
      </c>
      <c r="S39" s="58">
        <v>0</v>
      </c>
      <c r="T39" s="62">
        <v>0</v>
      </c>
      <c r="U39" s="94"/>
    </row>
    <row r="40" spans="1:20" s="93" customFormat="1" ht="13.5" customHeight="1">
      <c r="A40" s="538"/>
      <c r="B40" s="491" t="s">
        <v>535</v>
      </c>
      <c r="C40" s="141" t="s">
        <v>702</v>
      </c>
      <c r="D40" s="55">
        <f>SUM(D41:D42)</f>
        <v>6</v>
      </c>
      <c r="E40" s="55">
        <f aca="true" t="shared" si="9" ref="E40:T40">SUM(E41:E42)</f>
        <v>6</v>
      </c>
      <c r="F40" s="55">
        <f t="shared" si="9"/>
        <v>0</v>
      </c>
      <c r="G40" s="55">
        <v>31</v>
      </c>
      <c r="H40" s="55">
        <f t="shared" si="9"/>
        <v>0</v>
      </c>
      <c r="I40" s="55">
        <f t="shared" si="9"/>
        <v>0</v>
      </c>
      <c r="J40" s="55">
        <f t="shared" si="9"/>
        <v>3</v>
      </c>
      <c r="K40" s="55">
        <f t="shared" si="9"/>
        <v>2</v>
      </c>
      <c r="L40" s="55">
        <f t="shared" si="9"/>
        <v>0</v>
      </c>
      <c r="M40" s="55">
        <f t="shared" si="9"/>
        <v>1</v>
      </c>
      <c r="N40" s="55">
        <f t="shared" si="9"/>
        <v>0</v>
      </c>
      <c r="O40" s="55">
        <f t="shared" si="9"/>
        <v>0</v>
      </c>
      <c r="P40" s="55">
        <f t="shared" si="9"/>
        <v>0</v>
      </c>
      <c r="Q40" s="55">
        <f t="shared" si="9"/>
        <v>1</v>
      </c>
      <c r="R40" s="55">
        <f t="shared" si="9"/>
        <v>5</v>
      </c>
      <c r="S40" s="55">
        <f t="shared" si="9"/>
        <v>0</v>
      </c>
      <c r="T40" s="55">
        <f t="shared" si="9"/>
        <v>0</v>
      </c>
    </row>
    <row r="41" spans="1:21" s="93" customFormat="1" ht="13.5" customHeight="1">
      <c r="A41" s="538"/>
      <c r="B41" s="492"/>
      <c r="C41" s="143" t="s">
        <v>703</v>
      </c>
      <c r="D41" s="49">
        <v>5</v>
      </c>
      <c r="E41" s="49">
        <v>5</v>
      </c>
      <c r="F41" s="49">
        <v>0</v>
      </c>
      <c r="G41" s="49">
        <v>32</v>
      </c>
      <c r="H41" s="49">
        <v>0</v>
      </c>
      <c r="I41" s="49">
        <v>0</v>
      </c>
      <c r="J41" s="49">
        <v>2</v>
      </c>
      <c r="K41" s="49">
        <v>2</v>
      </c>
      <c r="L41" s="49">
        <v>0</v>
      </c>
      <c r="M41" s="49">
        <v>1</v>
      </c>
      <c r="N41" s="49">
        <v>0</v>
      </c>
      <c r="O41" s="49">
        <v>0</v>
      </c>
      <c r="P41" s="49">
        <v>0</v>
      </c>
      <c r="Q41" s="49">
        <v>1</v>
      </c>
      <c r="R41" s="49">
        <v>4</v>
      </c>
      <c r="S41" s="49">
        <v>0</v>
      </c>
      <c r="T41" s="49">
        <v>0</v>
      </c>
      <c r="U41" s="94"/>
    </row>
    <row r="42" spans="1:21" s="93" customFormat="1" ht="13.5" customHeight="1">
      <c r="A42" s="538"/>
      <c r="B42" s="493"/>
      <c r="C42" s="144" t="s">
        <v>704</v>
      </c>
      <c r="D42" s="49">
        <v>1</v>
      </c>
      <c r="E42" s="49">
        <v>1</v>
      </c>
      <c r="F42" s="49">
        <v>0</v>
      </c>
      <c r="G42" s="49">
        <v>25</v>
      </c>
      <c r="H42" s="49">
        <v>0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94"/>
    </row>
    <row r="43" spans="1:20" s="85" customFormat="1" ht="13.5" customHeight="1">
      <c r="A43" s="538"/>
      <c r="B43" s="491" t="s">
        <v>536</v>
      </c>
      <c r="C43" s="141" t="s">
        <v>702</v>
      </c>
      <c r="D43" s="55">
        <f>SUM(D44:D45)</f>
        <v>7</v>
      </c>
      <c r="E43" s="55">
        <f aca="true" t="shared" si="10" ref="E43:T43">SUM(E44:E45)</f>
        <v>7</v>
      </c>
      <c r="F43" s="55">
        <f t="shared" si="10"/>
        <v>0</v>
      </c>
      <c r="G43" s="55">
        <v>36</v>
      </c>
      <c r="H43" s="55">
        <f t="shared" si="10"/>
        <v>0</v>
      </c>
      <c r="I43" s="55">
        <f t="shared" si="10"/>
        <v>0</v>
      </c>
      <c r="J43" s="55">
        <f t="shared" si="10"/>
        <v>0</v>
      </c>
      <c r="K43" s="55">
        <f t="shared" si="10"/>
        <v>2</v>
      </c>
      <c r="L43" s="55">
        <f t="shared" si="10"/>
        <v>3</v>
      </c>
      <c r="M43" s="55">
        <f t="shared" si="10"/>
        <v>2</v>
      </c>
      <c r="N43" s="55">
        <f t="shared" si="10"/>
        <v>0</v>
      </c>
      <c r="O43" s="55">
        <f t="shared" si="10"/>
        <v>0</v>
      </c>
      <c r="P43" s="55">
        <f t="shared" si="10"/>
        <v>0</v>
      </c>
      <c r="Q43" s="55">
        <f t="shared" si="10"/>
        <v>5</v>
      </c>
      <c r="R43" s="55">
        <f t="shared" si="10"/>
        <v>2</v>
      </c>
      <c r="S43" s="55">
        <f t="shared" si="10"/>
        <v>0</v>
      </c>
      <c r="T43" s="55">
        <f t="shared" si="10"/>
        <v>0</v>
      </c>
    </row>
    <row r="44" spans="1:20" s="85" customFormat="1" ht="13.5" customHeight="1">
      <c r="A44" s="556"/>
      <c r="B44" s="492"/>
      <c r="C44" s="143" t="s">
        <v>703</v>
      </c>
      <c r="D44" s="49">
        <v>6</v>
      </c>
      <c r="E44" s="49">
        <v>6</v>
      </c>
      <c r="F44" s="59">
        <v>0</v>
      </c>
      <c r="G44" s="58">
        <v>37</v>
      </c>
      <c r="H44" s="58">
        <v>0</v>
      </c>
      <c r="I44" s="58">
        <v>0</v>
      </c>
      <c r="J44" s="58">
        <v>0</v>
      </c>
      <c r="K44" s="58">
        <v>1</v>
      </c>
      <c r="L44" s="58">
        <v>3</v>
      </c>
      <c r="M44" s="58">
        <v>2</v>
      </c>
      <c r="N44" s="58">
        <v>0</v>
      </c>
      <c r="O44" s="58">
        <v>0</v>
      </c>
      <c r="P44" s="59">
        <v>0</v>
      </c>
      <c r="Q44" s="59">
        <v>4</v>
      </c>
      <c r="R44" s="59">
        <v>2</v>
      </c>
      <c r="S44" s="59">
        <v>0</v>
      </c>
      <c r="T44" s="49">
        <v>0</v>
      </c>
    </row>
    <row r="45" spans="1:20" s="85" customFormat="1" ht="13.5" customHeight="1">
      <c r="A45" s="538"/>
      <c r="B45" s="492"/>
      <c r="C45" s="144" t="s">
        <v>704</v>
      </c>
      <c r="D45" s="49">
        <v>1</v>
      </c>
      <c r="E45" s="49">
        <v>1</v>
      </c>
      <c r="F45" s="59">
        <v>0</v>
      </c>
      <c r="G45" s="58">
        <v>32</v>
      </c>
      <c r="H45" s="58">
        <v>0</v>
      </c>
      <c r="I45" s="58">
        <v>0</v>
      </c>
      <c r="J45" s="58">
        <v>0</v>
      </c>
      <c r="K45" s="58">
        <v>1</v>
      </c>
      <c r="L45" s="58">
        <v>0</v>
      </c>
      <c r="M45" s="58">
        <v>0</v>
      </c>
      <c r="N45" s="58">
        <v>0</v>
      </c>
      <c r="O45" s="58">
        <v>0</v>
      </c>
      <c r="P45" s="59">
        <v>0</v>
      </c>
      <c r="Q45" s="59">
        <v>1</v>
      </c>
      <c r="R45" s="59">
        <v>0</v>
      </c>
      <c r="S45" s="59">
        <v>0</v>
      </c>
      <c r="T45" s="49">
        <v>0</v>
      </c>
    </row>
    <row r="46" spans="1:20" s="85" customFormat="1" ht="13.5" customHeight="1">
      <c r="A46" s="538"/>
      <c r="B46" s="507" t="s">
        <v>132</v>
      </c>
      <c r="C46" s="141" t="s">
        <v>687</v>
      </c>
      <c r="D46" s="54">
        <f>SUM(D47:D48)</f>
        <v>54</v>
      </c>
      <c r="E46" s="55">
        <f aca="true" t="shared" si="11" ref="E46:T46">SUM(E47:E48)</f>
        <v>54</v>
      </c>
      <c r="F46" s="55">
        <f t="shared" si="11"/>
        <v>0</v>
      </c>
      <c r="G46" s="55">
        <v>33</v>
      </c>
      <c r="H46" s="55">
        <f t="shared" si="11"/>
        <v>0</v>
      </c>
      <c r="I46" s="55">
        <f t="shared" si="11"/>
        <v>1</v>
      </c>
      <c r="J46" s="55">
        <f t="shared" si="11"/>
        <v>16</v>
      </c>
      <c r="K46" s="55">
        <f t="shared" si="11"/>
        <v>19</v>
      </c>
      <c r="L46" s="55">
        <f t="shared" si="11"/>
        <v>7</v>
      </c>
      <c r="M46" s="55">
        <f t="shared" si="11"/>
        <v>8</v>
      </c>
      <c r="N46" s="55">
        <f t="shared" si="11"/>
        <v>2</v>
      </c>
      <c r="O46" s="55">
        <f t="shared" si="11"/>
        <v>1</v>
      </c>
      <c r="P46" s="55">
        <f t="shared" si="11"/>
        <v>0</v>
      </c>
      <c r="Q46" s="55">
        <f t="shared" si="11"/>
        <v>45</v>
      </c>
      <c r="R46" s="55">
        <f t="shared" si="11"/>
        <v>9</v>
      </c>
      <c r="S46" s="55">
        <f t="shared" si="11"/>
        <v>0</v>
      </c>
      <c r="T46" s="55">
        <f t="shared" si="11"/>
        <v>0</v>
      </c>
    </row>
    <row r="47" spans="1:20" s="85" customFormat="1" ht="13.5" customHeight="1">
      <c r="A47" s="538"/>
      <c r="B47" s="516"/>
      <c r="C47" s="143" t="s">
        <v>688</v>
      </c>
      <c r="D47" s="64">
        <v>48</v>
      </c>
      <c r="E47" s="49">
        <v>48</v>
      </c>
      <c r="F47" s="49">
        <v>0</v>
      </c>
      <c r="G47" s="49">
        <v>33</v>
      </c>
      <c r="H47" s="49">
        <v>0</v>
      </c>
      <c r="I47" s="49">
        <v>1</v>
      </c>
      <c r="J47" s="49">
        <v>13</v>
      </c>
      <c r="K47" s="49">
        <v>16</v>
      </c>
      <c r="L47" s="49">
        <v>7</v>
      </c>
      <c r="M47" s="49">
        <v>8</v>
      </c>
      <c r="N47" s="49">
        <v>2</v>
      </c>
      <c r="O47" s="49">
        <v>1</v>
      </c>
      <c r="P47" s="49">
        <v>0</v>
      </c>
      <c r="Q47" s="49">
        <v>40</v>
      </c>
      <c r="R47" s="49">
        <v>8</v>
      </c>
      <c r="S47" s="49">
        <v>0</v>
      </c>
      <c r="T47" s="49">
        <v>0</v>
      </c>
    </row>
    <row r="48" spans="1:20" s="85" customFormat="1" ht="13.5" customHeight="1">
      <c r="A48" s="545"/>
      <c r="B48" s="517"/>
      <c r="C48" s="143" t="s">
        <v>689</v>
      </c>
      <c r="D48" s="270">
        <v>6</v>
      </c>
      <c r="E48" s="188">
        <v>6</v>
      </c>
      <c r="F48" s="188">
        <v>0</v>
      </c>
      <c r="G48" s="188">
        <v>29</v>
      </c>
      <c r="H48" s="188">
        <v>0</v>
      </c>
      <c r="I48" s="188">
        <v>0</v>
      </c>
      <c r="J48" s="188">
        <v>3</v>
      </c>
      <c r="K48" s="188">
        <v>3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5</v>
      </c>
      <c r="R48" s="188">
        <v>1</v>
      </c>
      <c r="S48" s="188">
        <v>0</v>
      </c>
      <c r="T48" s="188">
        <v>0</v>
      </c>
    </row>
    <row r="55" spans="1:20" ht="15.75">
      <c r="A55" s="535" t="str">
        <f>"- "&amp;Sheet1!R33&amp;" -"</f>
        <v>- 210 -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"&amp;Sheet1!S33&amp;" -"</f>
        <v>- 211 -</v>
      </c>
      <c r="L55" s="535"/>
      <c r="M55" s="535"/>
      <c r="N55" s="535"/>
      <c r="O55" s="535"/>
      <c r="P55" s="535"/>
      <c r="Q55" s="535"/>
      <c r="R55" s="535"/>
      <c r="S55" s="535"/>
      <c r="T55" s="535"/>
    </row>
    <row r="64" spans="1:20" ht="15.75">
      <c r="A64" s="63"/>
      <c r="B64" s="63"/>
      <c r="C64" s="63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</sheetData>
  <sheetProtection/>
  <mergeCells count="32">
    <mergeCell ref="A55:J55"/>
    <mergeCell ref="K55:T55"/>
    <mergeCell ref="F5:F6"/>
    <mergeCell ref="B46:B48"/>
    <mergeCell ref="A19:A32"/>
    <mergeCell ref="B34:B36"/>
    <mergeCell ref="B40:B42"/>
    <mergeCell ref="B43:B45"/>
    <mergeCell ref="B16:B18"/>
    <mergeCell ref="B19:B21"/>
    <mergeCell ref="B28:B30"/>
    <mergeCell ref="B31:B33"/>
    <mergeCell ref="A33:A48"/>
    <mergeCell ref="B22:B24"/>
    <mergeCell ref="B37:B39"/>
    <mergeCell ref="B25:B27"/>
    <mergeCell ref="A7:A13"/>
    <mergeCell ref="G5:G6"/>
    <mergeCell ref="B7:B9"/>
    <mergeCell ref="B10:B12"/>
    <mergeCell ref="B13:B15"/>
    <mergeCell ref="A14:A18"/>
    <mergeCell ref="K1:T1"/>
    <mergeCell ref="A1:J1"/>
    <mergeCell ref="A5:C6"/>
    <mergeCell ref="C3:I3"/>
    <mergeCell ref="D5:D6"/>
    <mergeCell ref="Q5:T5"/>
    <mergeCell ref="L3:S3"/>
    <mergeCell ref="H5:J5"/>
    <mergeCell ref="E5:E6"/>
    <mergeCell ref="K5:P5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S64"/>
  <sheetViews>
    <sheetView view="pageLayout" zoomScaleSheetLayoutView="85" workbookViewId="0" topLeftCell="A29">
      <selection activeCell="A55" sqref="A55:J55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1" width="8.50390625" style="89" customWidth="1"/>
    <col min="12" max="17" width="8.625" style="89" customWidth="1"/>
    <col min="18" max="18" width="9.875" style="89" customWidth="1"/>
    <col min="19" max="19" width="8.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563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219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562</v>
      </c>
      <c r="D3" s="461"/>
      <c r="E3" s="461"/>
      <c r="F3" s="461"/>
      <c r="G3" s="461"/>
      <c r="H3" s="461"/>
      <c r="I3" s="461"/>
      <c r="J3" s="4" t="s">
        <v>698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695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710</v>
      </c>
      <c r="E5" s="507" t="s">
        <v>705</v>
      </c>
      <c r="F5" s="507" t="s">
        <v>706</v>
      </c>
      <c r="G5" s="507" t="s">
        <v>707</v>
      </c>
      <c r="H5" s="495" t="s">
        <v>699</v>
      </c>
      <c r="I5" s="496"/>
      <c r="J5" s="496"/>
      <c r="K5" s="496" t="s">
        <v>667</v>
      </c>
      <c r="L5" s="496"/>
      <c r="M5" s="496"/>
      <c r="N5" s="496"/>
      <c r="O5" s="496"/>
      <c r="P5" s="514"/>
      <c r="Q5" s="495" t="s">
        <v>709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20" t="s">
        <v>711</v>
      </c>
    </row>
    <row r="7" spans="1:20" s="85" customFormat="1" ht="13.5" customHeight="1">
      <c r="A7" s="541" t="s">
        <v>560</v>
      </c>
      <c r="B7" s="536" t="s">
        <v>518</v>
      </c>
      <c r="C7" s="141" t="s">
        <v>702</v>
      </c>
      <c r="D7" s="56">
        <f>SUM(D10,D13,D16,D19,D22,D25)</f>
        <v>67</v>
      </c>
      <c r="E7" s="56">
        <f>SUM(E10,E13,E16,E19,E22,E25)</f>
        <v>67</v>
      </c>
      <c r="F7" s="56">
        <f>SUM(F10,F13,F16,F19,F22,F25)</f>
        <v>0</v>
      </c>
      <c r="G7" s="56">
        <v>31</v>
      </c>
      <c r="H7" s="56">
        <f aca="true" t="shared" si="0" ref="H7:T7">SUM(H10,H13,H16,H19,H22,H25)</f>
        <v>0</v>
      </c>
      <c r="I7" s="56">
        <f t="shared" si="0"/>
        <v>2</v>
      </c>
      <c r="J7" s="56">
        <f t="shared" si="0"/>
        <v>32</v>
      </c>
      <c r="K7" s="56">
        <f t="shared" si="0"/>
        <v>22</v>
      </c>
      <c r="L7" s="56">
        <f t="shared" si="0"/>
        <v>7</v>
      </c>
      <c r="M7" s="56">
        <f t="shared" si="0"/>
        <v>4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12</v>
      </c>
      <c r="R7" s="56">
        <f t="shared" si="0"/>
        <v>37</v>
      </c>
      <c r="S7" s="56">
        <f t="shared" si="0"/>
        <v>0</v>
      </c>
      <c r="T7" s="56">
        <f t="shared" si="0"/>
        <v>0</v>
      </c>
    </row>
    <row r="8" spans="1:20" s="85" customFormat="1" ht="13.5" customHeight="1">
      <c r="A8" s="542"/>
      <c r="B8" s="492"/>
      <c r="C8" s="143" t="s">
        <v>703</v>
      </c>
      <c r="D8" s="10">
        <f aca="true" t="shared" si="1" ref="D8:S9">SUM(D11,D14,D17,D20,D23,D26)</f>
        <v>34</v>
      </c>
      <c r="E8" s="10">
        <f t="shared" si="1"/>
        <v>34</v>
      </c>
      <c r="F8" s="10">
        <f t="shared" si="1"/>
        <v>0</v>
      </c>
      <c r="G8" s="10">
        <v>31</v>
      </c>
      <c r="H8" s="10">
        <f t="shared" si="1"/>
        <v>0</v>
      </c>
      <c r="I8" s="10">
        <f t="shared" si="1"/>
        <v>0</v>
      </c>
      <c r="J8" s="10">
        <f t="shared" si="1"/>
        <v>14</v>
      </c>
      <c r="K8" s="10">
        <f t="shared" si="1"/>
        <v>13</v>
      </c>
      <c r="L8" s="10">
        <f t="shared" si="1"/>
        <v>4</v>
      </c>
      <c r="M8" s="10">
        <f t="shared" si="1"/>
        <v>3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7</v>
      </c>
      <c r="R8" s="10">
        <f t="shared" si="1"/>
        <v>14</v>
      </c>
      <c r="S8" s="10">
        <f t="shared" si="1"/>
        <v>0</v>
      </c>
      <c r="T8" s="10">
        <f>SUM(T11,T14,T17,T20,T23,T26)</f>
        <v>0</v>
      </c>
    </row>
    <row r="9" spans="1:20" s="85" customFormat="1" ht="13.5" customHeight="1">
      <c r="A9" s="542"/>
      <c r="B9" s="492"/>
      <c r="C9" s="144" t="s">
        <v>704</v>
      </c>
      <c r="D9" s="10">
        <f t="shared" si="1"/>
        <v>33</v>
      </c>
      <c r="E9" s="10">
        <f t="shared" si="1"/>
        <v>33</v>
      </c>
      <c r="F9" s="10">
        <f t="shared" si="1"/>
        <v>0</v>
      </c>
      <c r="G9" s="10">
        <v>30</v>
      </c>
      <c r="H9" s="10">
        <f t="shared" si="1"/>
        <v>0</v>
      </c>
      <c r="I9" s="10">
        <f t="shared" si="1"/>
        <v>2</v>
      </c>
      <c r="J9" s="10">
        <f t="shared" si="1"/>
        <v>18</v>
      </c>
      <c r="K9" s="10">
        <f t="shared" si="1"/>
        <v>9</v>
      </c>
      <c r="L9" s="10">
        <f t="shared" si="1"/>
        <v>3</v>
      </c>
      <c r="M9" s="10">
        <f t="shared" si="1"/>
        <v>1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5</v>
      </c>
      <c r="R9" s="10">
        <f t="shared" si="1"/>
        <v>23</v>
      </c>
      <c r="S9" s="10">
        <f t="shared" si="1"/>
        <v>0</v>
      </c>
      <c r="T9" s="10">
        <f>SUM(T12,T15,T18,T21,T24,T27)</f>
        <v>0</v>
      </c>
    </row>
    <row r="10" spans="1:20" s="85" customFormat="1" ht="13.5" customHeight="1">
      <c r="A10" s="542"/>
      <c r="B10" s="491" t="s">
        <v>519</v>
      </c>
      <c r="C10" s="141" t="s">
        <v>702</v>
      </c>
      <c r="D10" s="55">
        <f>SUM(D11:D12)</f>
        <v>18</v>
      </c>
      <c r="E10" s="55">
        <f aca="true" t="shared" si="2" ref="E10:T10">SUM(E11:E12)</f>
        <v>18</v>
      </c>
      <c r="F10" s="55">
        <f t="shared" si="2"/>
        <v>0</v>
      </c>
      <c r="G10" s="55">
        <f>SUM(G11:G12)/2</f>
        <v>30.5</v>
      </c>
      <c r="H10" s="55">
        <f t="shared" si="2"/>
        <v>0</v>
      </c>
      <c r="I10" s="55">
        <f t="shared" si="2"/>
        <v>0</v>
      </c>
      <c r="J10" s="55">
        <f t="shared" si="2"/>
        <v>8</v>
      </c>
      <c r="K10" s="55">
        <f t="shared" si="2"/>
        <v>5</v>
      </c>
      <c r="L10" s="55">
        <f t="shared" si="2"/>
        <v>3</v>
      </c>
      <c r="M10" s="55">
        <f t="shared" si="2"/>
        <v>2</v>
      </c>
      <c r="N10" s="55">
        <f t="shared" si="2"/>
        <v>0</v>
      </c>
      <c r="O10" s="55">
        <f t="shared" si="2"/>
        <v>0</v>
      </c>
      <c r="P10" s="55">
        <f t="shared" si="2"/>
        <v>0</v>
      </c>
      <c r="Q10" s="55">
        <f t="shared" si="2"/>
        <v>0</v>
      </c>
      <c r="R10" s="55">
        <f t="shared" si="2"/>
        <v>0</v>
      </c>
      <c r="S10" s="55">
        <f t="shared" si="2"/>
        <v>0</v>
      </c>
      <c r="T10" s="55">
        <f t="shared" si="2"/>
        <v>0</v>
      </c>
    </row>
    <row r="11" spans="1:20" s="85" customFormat="1" ht="13.5" customHeight="1">
      <c r="A11" s="542"/>
      <c r="B11" s="492"/>
      <c r="C11" s="143" t="s">
        <v>703</v>
      </c>
      <c r="D11" s="10">
        <v>13</v>
      </c>
      <c r="E11" s="10">
        <v>13</v>
      </c>
      <c r="F11" s="10">
        <v>0</v>
      </c>
      <c r="G11" s="10">
        <v>32</v>
      </c>
      <c r="H11" s="10">
        <v>0</v>
      </c>
      <c r="I11" s="10">
        <v>0</v>
      </c>
      <c r="J11" s="10">
        <v>5</v>
      </c>
      <c r="K11" s="10">
        <v>3</v>
      </c>
      <c r="L11" s="10">
        <v>3</v>
      </c>
      <c r="M11" s="10">
        <v>2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49">
        <v>0</v>
      </c>
    </row>
    <row r="12" spans="1:20" s="85" customFormat="1" ht="13.5" customHeight="1">
      <c r="A12" s="542"/>
      <c r="B12" s="493"/>
      <c r="C12" s="144" t="s">
        <v>704</v>
      </c>
      <c r="D12" s="10">
        <v>5</v>
      </c>
      <c r="E12" s="10">
        <v>5</v>
      </c>
      <c r="F12" s="10">
        <v>0</v>
      </c>
      <c r="G12" s="10">
        <v>29</v>
      </c>
      <c r="H12" s="10">
        <v>0</v>
      </c>
      <c r="I12" s="10">
        <v>0</v>
      </c>
      <c r="J12" s="10">
        <v>3</v>
      </c>
      <c r="K12" s="10">
        <v>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49">
        <v>0</v>
      </c>
    </row>
    <row r="13" spans="1:20" s="93" customFormat="1" ht="13.5" customHeight="1">
      <c r="A13" s="542"/>
      <c r="B13" s="491" t="s">
        <v>522</v>
      </c>
      <c r="C13" s="141" t="s">
        <v>702</v>
      </c>
      <c r="D13" s="55">
        <f>SUM(D14:D15)</f>
        <v>10</v>
      </c>
      <c r="E13" s="55">
        <f aca="true" t="shared" si="3" ref="E13:T13">SUM(E14:E15)</f>
        <v>10</v>
      </c>
      <c r="F13" s="55">
        <f t="shared" si="3"/>
        <v>0</v>
      </c>
      <c r="G13" s="55">
        <f>SUM(G14:G15)/2</f>
        <v>31</v>
      </c>
      <c r="H13" s="55">
        <f t="shared" si="3"/>
        <v>0</v>
      </c>
      <c r="I13" s="55">
        <f t="shared" si="3"/>
        <v>0</v>
      </c>
      <c r="J13" s="55">
        <f t="shared" si="3"/>
        <v>4</v>
      </c>
      <c r="K13" s="55">
        <f t="shared" si="3"/>
        <v>3</v>
      </c>
      <c r="L13" s="55">
        <f t="shared" si="3"/>
        <v>3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0</v>
      </c>
      <c r="R13" s="55">
        <f t="shared" si="3"/>
        <v>10</v>
      </c>
      <c r="S13" s="55">
        <f t="shared" si="3"/>
        <v>0</v>
      </c>
      <c r="T13" s="55">
        <f t="shared" si="3"/>
        <v>0</v>
      </c>
    </row>
    <row r="14" spans="1:20" s="93" customFormat="1" ht="13.5" customHeight="1">
      <c r="A14" s="542"/>
      <c r="B14" s="492"/>
      <c r="C14" s="143" t="s">
        <v>703</v>
      </c>
      <c r="D14" s="10">
        <v>2</v>
      </c>
      <c r="E14" s="10">
        <v>2</v>
      </c>
      <c r="F14" s="10">
        <v>0</v>
      </c>
      <c r="G14" s="10">
        <v>31</v>
      </c>
      <c r="H14" s="10">
        <v>0</v>
      </c>
      <c r="I14" s="10">
        <v>0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</row>
    <row r="15" spans="1:20" s="93" customFormat="1" ht="13.5" customHeight="1">
      <c r="A15" s="542"/>
      <c r="B15" s="493"/>
      <c r="C15" s="235" t="s">
        <v>704</v>
      </c>
      <c r="D15" s="24">
        <v>8</v>
      </c>
      <c r="E15" s="10">
        <v>8</v>
      </c>
      <c r="F15" s="10">
        <v>0</v>
      </c>
      <c r="G15" s="10">
        <v>31</v>
      </c>
      <c r="H15" s="10">
        <v>0</v>
      </c>
      <c r="I15" s="10">
        <v>0</v>
      </c>
      <c r="J15" s="10">
        <v>4</v>
      </c>
      <c r="K15" s="10">
        <v>1</v>
      </c>
      <c r="L15" s="10">
        <v>3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8</v>
      </c>
      <c r="S15" s="10">
        <v>0</v>
      </c>
      <c r="T15" s="10">
        <v>0</v>
      </c>
    </row>
    <row r="16" spans="1:20" s="93" customFormat="1" ht="13.5" customHeight="1">
      <c r="A16" s="542"/>
      <c r="B16" s="491" t="s">
        <v>532</v>
      </c>
      <c r="C16" s="234" t="s">
        <v>702</v>
      </c>
      <c r="D16" s="54">
        <f>SUM(D17:D18)</f>
        <v>2</v>
      </c>
      <c r="E16" s="55">
        <f aca="true" t="shared" si="4" ref="E16:T16">SUM(E17:E18)</f>
        <v>2</v>
      </c>
      <c r="F16" s="55">
        <f t="shared" si="4"/>
        <v>0</v>
      </c>
      <c r="G16" s="55">
        <f>SUM(G17:G18)/2</f>
        <v>27</v>
      </c>
      <c r="H16" s="55">
        <f t="shared" si="4"/>
        <v>0</v>
      </c>
      <c r="I16" s="55">
        <f t="shared" si="4"/>
        <v>0</v>
      </c>
      <c r="J16" s="55">
        <f t="shared" si="4"/>
        <v>2</v>
      </c>
      <c r="K16" s="55">
        <f t="shared" si="4"/>
        <v>0</v>
      </c>
      <c r="L16" s="55">
        <f t="shared" si="4"/>
        <v>0</v>
      </c>
      <c r="M16" s="55">
        <f t="shared" si="4"/>
        <v>0</v>
      </c>
      <c r="N16" s="55">
        <f t="shared" si="4"/>
        <v>0</v>
      </c>
      <c r="O16" s="55">
        <f t="shared" si="4"/>
        <v>0</v>
      </c>
      <c r="P16" s="55">
        <f t="shared" si="4"/>
        <v>0</v>
      </c>
      <c r="Q16" s="55">
        <f t="shared" si="4"/>
        <v>0</v>
      </c>
      <c r="R16" s="55">
        <f t="shared" si="4"/>
        <v>2</v>
      </c>
      <c r="S16" s="55">
        <f t="shared" si="4"/>
        <v>0</v>
      </c>
      <c r="T16" s="55">
        <f t="shared" si="4"/>
        <v>0</v>
      </c>
    </row>
    <row r="17" spans="1:20" s="93" customFormat="1" ht="13.5" customHeight="1">
      <c r="A17" s="542"/>
      <c r="B17" s="492"/>
      <c r="C17" s="124" t="s">
        <v>703</v>
      </c>
      <c r="D17" s="24">
        <v>1</v>
      </c>
      <c r="E17" s="10">
        <v>1</v>
      </c>
      <c r="F17" s="10">
        <v>0</v>
      </c>
      <c r="G17" s="10">
        <v>26</v>
      </c>
      <c r="H17" s="10">
        <v>0</v>
      </c>
      <c r="I17" s="10">
        <v>0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0</v>
      </c>
    </row>
    <row r="18" spans="1:20" s="93" customFormat="1" ht="13.5" customHeight="1">
      <c r="A18" s="538" t="s">
        <v>561</v>
      </c>
      <c r="B18" s="493"/>
      <c r="C18" s="124" t="s">
        <v>704</v>
      </c>
      <c r="D18" s="24">
        <v>1</v>
      </c>
      <c r="E18" s="10">
        <v>1</v>
      </c>
      <c r="F18" s="10">
        <v>0</v>
      </c>
      <c r="G18" s="10">
        <v>28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</row>
    <row r="19" spans="1:45" s="93" customFormat="1" ht="13.5" customHeight="1">
      <c r="A19" s="538"/>
      <c r="B19" s="491" t="s">
        <v>533</v>
      </c>
      <c r="C19" s="234" t="s">
        <v>702</v>
      </c>
      <c r="D19" s="54">
        <f>SUM(D20:D21)</f>
        <v>10</v>
      </c>
      <c r="E19" s="55">
        <f aca="true" t="shared" si="5" ref="E19:T19">SUM(E20:E21)</f>
        <v>10</v>
      </c>
      <c r="F19" s="55">
        <f t="shared" si="5"/>
        <v>0</v>
      </c>
      <c r="G19" s="55">
        <v>28</v>
      </c>
      <c r="H19" s="55">
        <f t="shared" si="5"/>
        <v>0</v>
      </c>
      <c r="I19" s="55">
        <f t="shared" si="5"/>
        <v>1</v>
      </c>
      <c r="J19" s="55">
        <f t="shared" si="5"/>
        <v>3</v>
      </c>
      <c r="K19" s="55">
        <f t="shared" si="5"/>
        <v>5</v>
      </c>
      <c r="L19" s="55">
        <f t="shared" si="5"/>
        <v>1</v>
      </c>
      <c r="M19" s="55">
        <f t="shared" si="5"/>
        <v>0</v>
      </c>
      <c r="N19" s="55">
        <f t="shared" si="5"/>
        <v>0</v>
      </c>
      <c r="O19" s="55">
        <f t="shared" si="5"/>
        <v>0</v>
      </c>
      <c r="P19" s="55">
        <f t="shared" si="5"/>
        <v>0</v>
      </c>
      <c r="Q19" s="55">
        <f t="shared" si="5"/>
        <v>1</v>
      </c>
      <c r="R19" s="55">
        <f t="shared" si="5"/>
        <v>9</v>
      </c>
      <c r="S19" s="55">
        <f t="shared" si="5"/>
        <v>0</v>
      </c>
      <c r="T19" s="55">
        <f t="shared" si="5"/>
        <v>0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s="93" customFormat="1" ht="13.5" customHeight="1">
      <c r="A20" s="538"/>
      <c r="B20" s="492"/>
      <c r="C20" s="124" t="s">
        <v>703</v>
      </c>
      <c r="D20" s="24">
        <v>7</v>
      </c>
      <c r="E20" s="10">
        <v>7</v>
      </c>
      <c r="F20" s="10">
        <v>0</v>
      </c>
      <c r="G20" s="10">
        <v>30</v>
      </c>
      <c r="H20" s="10">
        <v>0</v>
      </c>
      <c r="I20" s="10">
        <v>0</v>
      </c>
      <c r="J20" s="10">
        <v>2</v>
      </c>
      <c r="K20" s="10">
        <v>4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0">
        <v>6</v>
      </c>
      <c r="S20" s="10">
        <v>0</v>
      </c>
      <c r="T20" s="10"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s="93" customFormat="1" ht="13.5" customHeight="1">
      <c r="A21" s="538"/>
      <c r="B21" s="493"/>
      <c r="C21" s="235" t="s">
        <v>704</v>
      </c>
      <c r="D21" s="24">
        <v>3</v>
      </c>
      <c r="E21" s="10">
        <v>3</v>
      </c>
      <c r="F21" s="10">
        <v>0</v>
      </c>
      <c r="G21" s="10">
        <v>27</v>
      </c>
      <c r="H21" s="10">
        <v>0</v>
      </c>
      <c r="I21" s="10">
        <v>1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3</v>
      </c>
      <c r="S21" s="10">
        <v>0</v>
      </c>
      <c r="T21" s="10">
        <v>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20" s="93" customFormat="1" ht="13.5" customHeight="1">
      <c r="A22" s="538"/>
      <c r="B22" s="491" t="s">
        <v>535</v>
      </c>
      <c r="C22" s="234" t="s">
        <v>702</v>
      </c>
      <c r="D22" s="54">
        <f>SUM(D23:D24)</f>
        <v>18</v>
      </c>
      <c r="E22" s="55">
        <f aca="true" t="shared" si="6" ref="E22:T22">SUM(E23:E24)</f>
        <v>18</v>
      </c>
      <c r="F22" s="55">
        <f t="shared" si="6"/>
        <v>0</v>
      </c>
      <c r="G22" s="55">
        <v>30</v>
      </c>
      <c r="H22" s="55">
        <f t="shared" si="6"/>
        <v>0</v>
      </c>
      <c r="I22" s="55">
        <f t="shared" si="6"/>
        <v>0</v>
      </c>
      <c r="J22" s="55">
        <f t="shared" si="6"/>
        <v>8</v>
      </c>
      <c r="K22" s="55">
        <f t="shared" si="6"/>
        <v>8</v>
      </c>
      <c r="L22" s="55">
        <f t="shared" si="6"/>
        <v>0</v>
      </c>
      <c r="M22" s="55">
        <f t="shared" si="6"/>
        <v>2</v>
      </c>
      <c r="N22" s="55">
        <f t="shared" si="6"/>
        <v>0</v>
      </c>
      <c r="O22" s="55">
        <f t="shared" si="6"/>
        <v>0</v>
      </c>
      <c r="P22" s="55">
        <f t="shared" si="6"/>
        <v>0</v>
      </c>
      <c r="Q22" s="55">
        <f t="shared" si="6"/>
        <v>5</v>
      </c>
      <c r="R22" s="55">
        <f t="shared" si="6"/>
        <v>13</v>
      </c>
      <c r="S22" s="55">
        <f t="shared" si="6"/>
        <v>0</v>
      </c>
      <c r="T22" s="55">
        <f t="shared" si="6"/>
        <v>0</v>
      </c>
    </row>
    <row r="23" spans="1:20" s="93" customFormat="1" ht="13.5" customHeight="1">
      <c r="A23" s="538"/>
      <c r="B23" s="492"/>
      <c r="C23" s="124" t="s">
        <v>703</v>
      </c>
      <c r="D23" s="64">
        <v>7</v>
      </c>
      <c r="E23" s="49">
        <v>7</v>
      </c>
      <c r="F23" s="58">
        <v>0</v>
      </c>
      <c r="G23" s="49">
        <v>31</v>
      </c>
      <c r="H23" s="49">
        <v>0</v>
      </c>
      <c r="I23" s="49">
        <v>0</v>
      </c>
      <c r="J23" s="59">
        <v>2</v>
      </c>
      <c r="K23" s="58">
        <v>4</v>
      </c>
      <c r="L23" s="58">
        <v>0</v>
      </c>
      <c r="M23" s="58">
        <v>1</v>
      </c>
      <c r="N23" s="58">
        <v>0</v>
      </c>
      <c r="O23" s="58">
        <v>0</v>
      </c>
      <c r="P23" s="58">
        <v>0</v>
      </c>
      <c r="Q23" s="58">
        <v>3</v>
      </c>
      <c r="R23" s="58">
        <v>4</v>
      </c>
      <c r="S23" s="58">
        <v>0</v>
      </c>
      <c r="T23" s="58">
        <v>0</v>
      </c>
    </row>
    <row r="24" spans="1:20" s="93" customFormat="1" ht="13.5" customHeight="1">
      <c r="A24" s="538"/>
      <c r="B24" s="493"/>
      <c r="C24" s="235" t="s">
        <v>704</v>
      </c>
      <c r="D24" s="64">
        <v>11</v>
      </c>
      <c r="E24" s="49">
        <v>11</v>
      </c>
      <c r="F24" s="58">
        <v>0</v>
      </c>
      <c r="G24" s="49">
        <v>30</v>
      </c>
      <c r="H24" s="49">
        <v>0</v>
      </c>
      <c r="I24" s="49">
        <v>0</v>
      </c>
      <c r="J24" s="59">
        <v>6</v>
      </c>
      <c r="K24" s="58">
        <v>4</v>
      </c>
      <c r="L24" s="58">
        <v>0</v>
      </c>
      <c r="M24" s="58">
        <v>1</v>
      </c>
      <c r="N24" s="58">
        <v>0</v>
      </c>
      <c r="O24" s="58">
        <v>0</v>
      </c>
      <c r="P24" s="58">
        <v>0</v>
      </c>
      <c r="Q24" s="58">
        <v>2</v>
      </c>
      <c r="R24" s="58">
        <v>9</v>
      </c>
      <c r="S24" s="58">
        <v>0</v>
      </c>
      <c r="T24" s="58">
        <v>0</v>
      </c>
    </row>
    <row r="25" spans="1:20" s="93" customFormat="1" ht="13.5" customHeight="1">
      <c r="A25" s="538"/>
      <c r="B25" s="491" t="s">
        <v>537</v>
      </c>
      <c r="C25" s="234" t="s">
        <v>702</v>
      </c>
      <c r="D25" s="54">
        <f>SUM(D26:D27)</f>
        <v>9</v>
      </c>
      <c r="E25" s="55">
        <f aca="true" t="shared" si="7" ref="E25:T25">SUM(E26:E27)</f>
        <v>9</v>
      </c>
      <c r="F25" s="55">
        <f t="shared" si="7"/>
        <v>0</v>
      </c>
      <c r="G25" s="55">
        <v>31</v>
      </c>
      <c r="H25" s="55">
        <f t="shared" si="7"/>
        <v>0</v>
      </c>
      <c r="I25" s="55">
        <f t="shared" si="7"/>
        <v>1</v>
      </c>
      <c r="J25" s="55">
        <f t="shared" si="7"/>
        <v>7</v>
      </c>
      <c r="K25" s="55">
        <f t="shared" si="7"/>
        <v>1</v>
      </c>
      <c r="L25" s="55">
        <f t="shared" si="7"/>
        <v>0</v>
      </c>
      <c r="M25" s="55">
        <f t="shared" si="7"/>
        <v>0</v>
      </c>
      <c r="N25" s="55">
        <f t="shared" si="7"/>
        <v>0</v>
      </c>
      <c r="O25" s="55">
        <f t="shared" si="7"/>
        <v>0</v>
      </c>
      <c r="P25" s="55">
        <f t="shared" si="7"/>
        <v>0</v>
      </c>
      <c r="Q25" s="55">
        <f t="shared" si="7"/>
        <v>6</v>
      </c>
      <c r="R25" s="55">
        <f t="shared" si="7"/>
        <v>3</v>
      </c>
      <c r="S25" s="55">
        <f t="shared" si="7"/>
        <v>0</v>
      </c>
      <c r="T25" s="55">
        <f t="shared" si="7"/>
        <v>0</v>
      </c>
    </row>
    <row r="26" spans="1:20" s="93" customFormat="1" ht="13.5" customHeight="1">
      <c r="A26" s="538"/>
      <c r="B26" s="492"/>
      <c r="C26" s="124" t="s">
        <v>703</v>
      </c>
      <c r="D26" s="64">
        <v>4</v>
      </c>
      <c r="E26" s="49">
        <v>4</v>
      </c>
      <c r="F26" s="58">
        <v>0</v>
      </c>
      <c r="G26" s="49">
        <v>32</v>
      </c>
      <c r="H26" s="49">
        <v>0</v>
      </c>
      <c r="I26" s="49">
        <v>0</v>
      </c>
      <c r="J26" s="59">
        <v>4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3</v>
      </c>
      <c r="R26" s="58">
        <v>1</v>
      </c>
      <c r="S26" s="58">
        <v>0</v>
      </c>
      <c r="T26" s="58">
        <v>0</v>
      </c>
    </row>
    <row r="27" spans="1:20" s="93" customFormat="1" ht="13.5" customHeight="1">
      <c r="A27" s="545"/>
      <c r="B27" s="492"/>
      <c r="C27" s="235" t="s">
        <v>704</v>
      </c>
      <c r="D27" s="64">
        <v>5</v>
      </c>
      <c r="E27" s="49">
        <v>5</v>
      </c>
      <c r="F27" s="58">
        <v>0</v>
      </c>
      <c r="G27" s="49">
        <v>31</v>
      </c>
      <c r="H27" s="49">
        <v>0</v>
      </c>
      <c r="I27" s="49">
        <v>1</v>
      </c>
      <c r="J27" s="59">
        <v>3</v>
      </c>
      <c r="K27" s="58">
        <v>1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3</v>
      </c>
      <c r="R27" s="58">
        <v>2</v>
      </c>
      <c r="S27" s="58">
        <v>0</v>
      </c>
      <c r="T27" s="58">
        <v>0</v>
      </c>
    </row>
    <row r="28" spans="1:20" s="93" customFormat="1" ht="13.5" customHeight="1">
      <c r="A28" s="541" t="s">
        <v>135</v>
      </c>
      <c r="B28" s="536" t="s">
        <v>518</v>
      </c>
      <c r="C28" s="141" t="s">
        <v>702</v>
      </c>
      <c r="D28" s="56">
        <f>SUM('表32(續10)'!D7,'表32(續10)'!D10,'表32(續10)'!D13,'表32(續10)'!D16)+SUM(D31,D34,D37,D40,D43,D46)</f>
        <v>1234</v>
      </c>
      <c r="E28" s="56">
        <f>SUM(E31,E34,E38,E38,E37,E40,E43,E46)+SUM('表32(續10)'!E7,'表32(續10)'!E10,'表32(續10)'!E13,'表32(續10)'!E16)</f>
        <v>1396</v>
      </c>
      <c r="F28" s="56">
        <f>SUM(F31,F34,F38,F38,F37,F40,F43,F46)+SUM('表32(續10)'!F7,'表32(續10)'!F10,'表32(續10)'!F13,'表32(續10)'!F16)</f>
        <v>0</v>
      </c>
      <c r="G28" s="56">
        <v>30</v>
      </c>
      <c r="H28" s="56">
        <f>SUM(H31,H34,H38,H38,H37,H40,H43,H46)+SUM('表32(續10)'!H7,'表32(續10)'!H10,'表32(續10)'!H13,'表32(續10)'!H16)</f>
        <v>0</v>
      </c>
      <c r="I28" s="56">
        <f>SUM(I31,I34,I38,I38,I37,I40,I43,I46)+SUM('表32(續10)'!I7,'表32(續10)'!I10,'表32(續10)'!I13,'表32(續10)'!I16)</f>
        <v>141</v>
      </c>
      <c r="J28" s="56">
        <f>SUM(J31,J34,J38,J38,J37,J40,J43,J46)+SUM('表32(續10)'!J7,'表32(續10)'!J10,'表32(續10)'!J13,'表32(續10)'!J16)</f>
        <v>553</v>
      </c>
      <c r="K28" s="56">
        <f>SUM(K31,K34,K38,K38,K37,K40,K43,K46)+SUM('表32(續10)'!K7,'表32(續10)'!K10,'表32(續10)'!K13,'表32(續10)'!K16)</f>
        <v>371</v>
      </c>
      <c r="L28" s="56">
        <f>SUM(L31,L34,L38,L38,L37,L40,L43,L46)+SUM('表32(續10)'!L7,'表32(續10)'!L10,'表32(續10)'!L13,'表32(續10)'!L16)</f>
        <v>190</v>
      </c>
      <c r="M28" s="56">
        <f>SUM(M31,M34,M38,M38,M37,M40,M43,M46)+SUM('表32(續10)'!M7,'表32(續10)'!M10,'表32(續10)'!M13,'表32(續10)'!M16)</f>
        <v>99</v>
      </c>
      <c r="N28" s="56">
        <f>SUM(N31,N34,N38,N38,N37,N40,N43,N46)+SUM('表32(續10)'!N7,'表32(續10)'!N10,'表32(續10)'!N13,'表32(續10)'!N16)</f>
        <v>34</v>
      </c>
      <c r="O28" s="56">
        <f>SUM(O31,O34,O38,O38,O37,O40,O43,O46)+SUM('表32(續10)'!O7,'表32(續10)'!O10,'表32(續10)'!O13,'表32(續10)'!O16)</f>
        <v>7</v>
      </c>
      <c r="P28" s="56">
        <f>SUM(P31,P34,P38,P38,P37,P40,P43,P46)+SUM('表32(續10)'!P7,'表32(續10)'!P10,'表32(續10)'!P13,'表32(續10)'!P16)</f>
        <v>1</v>
      </c>
      <c r="Q28" s="56">
        <f>SUM(Q31,Q34,Q38,Q38,Q37,Q40,Q43,Q46)+SUM('表32(續10)'!Q7,'表32(續10)'!Q10,'表32(續10)'!Q13,'表32(續10)'!Q16)</f>
        <v>27</v>
      </c>
      <c r="R28" s="56">
        <f>SUM(R31,R34,R38,R38,R37,R40,R43,R46)+SUM('表32(續10)'!R7,'表32(續10)'!R10,'表32(續10)'!R13,'表32(續10)'!R16)</f>
        <v>1025</v>
      </c>
      <c r="S28" s="56">
        <f>SUM(S31,S34,S38,S38,S37,S40,S43,S46)+SUM('表32(續10)'!S7,'表32(續10)'!S10,'表32(續10)'!S13,'表32(續10)'!S16)</f>
        <v>264</v>
      </c>
      <c r="T28" s="56">
        <f>SUM(T31,T34,T38,T38,T37,T40,T43,T46)+SUM('表32(續10)'!T7,'表32(續10)'!T10,'表32(續10)'!T13,'表32(續10)'!T16)</f>
        <v>2</v>
      </c>
    </row>
    <row r="29" spans="1:20" s="93" customFormat="1" ht="13.5" customHeight="1">
      <c r="A29" s="542"/>
      <c r="B29" s="492"/>
      <c r="C29" s="143" t="s">
        <v>703</v>
      </c>
      <c r="D29" s="10">
        <f>SUM('表32(續10)'!D8,'表32(續10)'!D11,'表32(續10)'!D14,'表32(續10)'!D17)+SUM(D32,D35,D38,D41,D44,D47)</f>
        <v>584</v>
      </c>
      <c r="E29" s="10">
        <f>SUM('表32(續10)'!E8,'表32(續10)'!E11,'表32(續10)'!E14,'表32(續10)'!E17)+SUM(E32,E35,E38,E41,E44,E47)</f>
        <v>584</v>
      </c>
      <c r="F29" s="10">
        <f>SUM('表32(續10)'!F8,'表32(續10)'!F11,'表32(續10)'!F14,'表32(續10)'!F17)+SUM(F32,F35,F38,F41,F44,F47)</f>
        <v>0</v>
      </c>
      <c r="G29" s="10">
        <v>31</v>
      </c>
      <c r="H29" s="10">
        <f>SUM('表32(續10)'!H8,'表32(續10)'!H11,'表32(續10)'!H14,'表32(續10)'!H17)+SUM(H32,H35,H38,H41,H44,H47)</f>
        <v>0</v>
      </c>
      <c r="I29" s="10">
        <f>SUM('表32(續10)'!I8,'表32(續10)'!I11,'表32(續10)'!I14,'表32(續10)'!I17)+SUM(I32,I35,I38,I41,I44,I47)</f>
        <v>34</v>
      </c>
      <c r="J29" s="10">
        <f>SUM('表32(續10)'!J8,'表32(續10)'!J11,'表32(續10)'!J14,'表32(續10)'!J17)+SUM(J32,J35,J38,J41,J44,J47)</f>
        <v>209</v>
      </c>
      <c r="K29" s="10">
        <f>SUM('表32(續10)'!K8,'表32(續10)'!K11,'表32(續10)'!K14,'表32(續10)'!K17)+SUM(K32,K35,K38,K41,K44,K47)</f>
        <v>184</v>
      </c>
      <c r="L29" s="10">
        <f>SUM('表32(續10)'!L8,'表32(續10)'!L11,'表32(續10)'!L14,'表32(續10)'!L17)+SUM(L32,L35,L38,L41,L44,L47)</f>
        <v>80</v>
      </c>
      <c r="M29" s="10">
        <f>SUM('表32(續10)'!M8,'表32(續10)'!M11,'表32(續10)'!M14,'表32(續10)'!M17)+SUM(M32,M35,M38,M41,M44,M47)</f>
        <v>49</v>
      </c>
      <c r="N29" s="10">
        <f>SUM('表32(續10)'!N8,'表32(續10)'!N11,'表32(續10)'!N14,'表32(續10)'!N17)+SUM(N32,N35,N38,N41,N44,N47)</f>
        <v>22</v>
      </c>
      <c r="O29" s="10">
        <f>SUM('表32(續10)'!O8,'表32(續10)'!O11,'表32(續10)'!O14,'表32(續10)'!O17)+SUM(O32,O35,O38,O41,O44,O47)</f>
        <v>5</v>
      </c>
      <c r="P29" s="10">
        <f>SUM('表32(續10)'!P8,'表32(續10)'!P11,'表32(續10)'!P14,'表32(續10)'!P17)+SUM(P32,P35,P38,P41,P44,P47)</f>
        <v>1</v>
      </c>
      <c r="Q29" s="10">
        <f>SUM('表32(續10)'!Q8,'表32(續10)'!Q11,'表32(續10)'!Q14,'表32(續10)'!Q17)+SUM(Q32,Q35,Q38,Q41,Q44,Q47)</f>
        <v>17</v>
      </c>
      <c r="R29" s="10">
        <f>SUM('表32(續10)'!R8,'表32(續10)'!R11,'表32(續10)'!R14,'表32(續10)'!R17)+SUM(R32,R35,R38,R41,R44,R47)</f>
        <v>426</v>
      </c>
      <c r="S29" s="10">
        <f>SUM('表32(續10)'!S8,'表32(續10)'!S11,'表32(續10)'!S14,'表32(續10)'!S17)+SUM(S32,S35,S38,S41,S44,S47)</f>
        <v>105</v>
      </c>
      <c r="T29" s="10">
        <f>SUM('表32(續10)'!T8,'表32(續10)'!T11,'表32(續10)'!T14,'表32(續10)'!T17)+SUM(T32,T35,T38,T41,T44,T47)</f>
        <v>2</v>
      </c>
    </row>
    <row r="30" spans="1:20" s="93" customFormat="1" ht="13.5" customHeight="1">
      <c r="A30" s="542"/>
      <c r="B30" s="492"/>
      <c r="C30" s="144" t="s">
        <v>704</v>
      </c>
      <c r="D30" s="10">
        <f>SUM(D33,D36,D39,D42,D45,D48)+SUM('表32(續10)'!D9,'表32(續10)'!D12,'表32(續10)'!D15,'表32(續10)'!D18)</f>
        <v>650</v>
      </c>
      <c r="E30" s="10">
        <f>SUM(E33,E36,E39,E42,E45,E48)+SUM('表32(續10)'!E9,'表32(續10)'!E12,'表32(續10)'!E15,'表32(續10)'!E18)</f>
        <v>650</v>
      </c>
      <c r="F30" s="10">
        <f>SUM(F33,F36,F39,F42,F45,F48)+SUM('表32(續10)'!F9,'表32(續10)'!F12,'表32(續10)'!F15,'表32(續10)'!F18)</f>
        <v>0</v>
      </c>
      <c r="G30" s="10">
        <v>29</v>
      </c>
      <c r="H30" s="10">
        <f>SUM(H33,H36,H39,H42,H45,H48)+SUM('表32(續10)'!H9,'表32(續10)'!H12,'表32(續10)'!H15,'表32(續10)'!H18)</f>
        <v>0</v>
      </c>
      <c r="I30" s="10">
        <f>SUM(I33,I36,I39,I42,I45,I48)+SUM('表32(續10)'!I9,'表32(續10)'!I12,'表32(續10)'!I15,'表32(續10)'!I18)</f>
        <v>103</v>
      </c>
      <c r="J30" s="10">
        <f>SUM(J33,J36,J39,J42,J45,J48)+SUM('表32(續10)'!J9,'表32(續10)'!J12,'表32(續10)'!J15,'表32(續10)'!J18)</f>
        <v>286</v>
      </c>
      <c r="K30" s="10">
        <f>SUM(K33,K36,K39,K42,K45,K48)+SUM('表32(續10)'!K9,'表32(續10)'!K12,'表32(續10)'!K15,'表32(續10)'!K18)</f>
        <v>133</v>
      </c>
      <c r="L30" s="10">
        <f>SUM(L33,L36,L39,L42,L45,L48)+SUM('表32(續10)'!L9,'表32(續10)'!L12,'表32(續10)'!L15,'表32(續10)'!L18)</f>
        <v>82</v>
      </c>
      <c r="M30" s="10">
        <f>SUM(M33,M36,M39,M42,M45,M48)+SUM('表32(續10)'!M9,'表32(續10)'!M12,'表32(續10)'!M15,'表32(續10)'!M18)</f>
        <v>36</v>
      </c>
      <c r="N30" s="10">
        <f>SUM(N33,N36,N39,N42,N45,N48)+SUM('表32(續10)'!N9,'表32(續10)'!N12,'表32(續10)'!N15,'表32(續10)'!N18)</f>
        <v>8</v>
      </c>
      <c r="O30" s="10">
        <f>SUM(O33,O36,O39,O42,O45,O48)+SUM('表32(續10)'!O9,'表32(續10)'!O12,'表32(續10)'!O15,'表32(續10)'!O18)</f>
        <v>2</v>
      </c>
      <c r="P30" s="10">
        <f>SUM(P33,P36,P39,P42,P45,P48)+SUM('表32(續10)'!P9,'表32(續10)'!P12,'表32(續10)'!P15,'表32(續10)'!P18)</f>
        <v>0</v>
      </c>
      <c r="Q30" s="10">
        <f>SUM(Q33,Q36,Q39,Q42,Q45,Q48)+SUM('表32(續10)'!Q9,'表32(續10)'!Q12,'表32(續10)'!Q15,'表32(續10)'!Q18)</f>
        <v>10</v>
      </c>
      <c r="R30" s="10">
        <f>SUM(R33,R36,R39,R42,R45,R48)+SUM('表32(續10)'!R9,'表32(續10)'!R12,'表32(續10)'!R15,'表32(續10)'!R18)</f>
        <v>475</v>
      </c>
      <c r="S30" s="10">
        <f>SUM(S33,S36,S39,S42,S45,S48)+SUM('表32(續10)'!S9,'表32(續10)'!S12,'表32(續10)'!S15,'表32(續10)'!S18)</f>
        <v>121</v>
      </c>
      <c r="T30" s="10">
        <f>SUM(T33,T36,T39,T42,T45,T48)+SUM('表32(續10)'!T9,'表32(續10)'!T12,'表32(續10)'!T15,'表32(續10)'!T18)</f>
        <v>0</v>
      </c>
    </row>
    <row r="31" spans="1:20" s="93" customFormat="1" ht="13.5" customHeight="1">
      <c r="A31" s="542"/>
      <c r="B31" s="491" t="s">
        <v>519</v>
      </c>
      <c r="C31" s="141" t="s">
        <v>702</v>
      </c>
      <c r="D31" s="55">
        <f>SUM(D32:D33)</f>
        <v>13</v>
      </c>
      <c r="E31" s="55">
        <f aca="true" t="shared" si="8" ref="E31:T31">SUM(E32:E33)</f>
        <v>13</v>
      </c>
      <c r="F31" s="55">
        <f t="shared" si="8"/>
        <v>0</v>
      </c>
      <c r="G31" s="55">
        <f>SUM(G32:G33)/2</f>
        <v>33</v>
      </c>
      <c r="H31" s="55">
        <f t="shared" si="8"/>
        <v>0</v>
      </c>
      <c r="I31" s="55">
        <f t="shared" si="8"/>
        <v>1</v>
      </c>
      <c r="J31" s="55">
        <f t="shared" si="8"/>
        <v>3</v>
      </c>
      <c r="K31" s="55">
        <f t="shared" si="8"/>
        <v>4</v>
      </c>
      <c r="L31" s="55">
        <f t="shared" si="8"/>
        <v>2</v>
      </c>
      <c r="M31" s="55">
        <f t="shared" si="8"/>
        <v>3</v>
      </c>
      <c r="N31" s="55">
        <f t="shared" si="8"/>
        <v>0</v>
      </c>
      <c r="O31" s="55">
        <f t="shared" si="8"/>
        <v>0</v>
      </c>
      <c r="P31" s="55">
        <f t="shared" si="8"/>
        <v>0</v>
      </c>
      <c r="Q31" s="55">
        <f t="shared" si="8"/>
        <v>0</v>
      </c>
      <c r="R31" s="55">
        <f t="shared" si="8"/>
        <v>0</v>
      </c>
      <c r="S31" s="55">
        <f t="shared" si="8"/>
        <v>0</v>
      </c>
      <c r="T31" s="55">
        <f t="shared" si="8"/>
        <v>0</v>
      </c>
    </row>
    <row r="32" spans="1:20" s="93" customFormat="1" ht="13.5" customHeight="1">
      <c r="A32" s="542"/>
      <c r="B32" s="492"/>
      <c r="C32" s="143" t="s">
        <v>703</v>
      </c>
      <c r="D32" s="49">
        <v>7</v>
      </c>
      <c r="E32" s="49">
        <v>7</v>
      </c>
      <c r="F32" s="58">
        <v>0</v>
      </c>
      <c r="G32" s="49">
        <v>34</v>
      </c>
      <c r="H32" s="49">
        <v>0</v>
      </c>
      <c r="I32" s="49">
        <v>0</v>
      </c>
      <c r="J32" s="59">
        <v>2</v>
      </c>
      <c r="K32" s="58">
        <v>2</v>
      </c>
      <c r="L32" s="58">
        <v>1</v>
      </c>
      <c r="M32" s="58">
        <v>2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</row>
    <row r="33" spans="1:20" s="93" customFormat="1" ht="13.5" customHeight="1">
      <c r="A33" s="542"/>
      <c r="B33" s="492"/>
      <c r="C33" s="144" t="s">
        <v>704</v>
      </c>
      <c r="D33" s="49">
        <v>6</v>
      </c>
      <c r="E33" s="49">
        <v>6</v>
      </c>
      <c r="F33" s="58">
        <v>0</v>
      </c>
      <c r="G33" s="49">
        <v>32</v>
      </c>
      <c r="H33" s="49">
        <v>0</v>
      </c>
      <c r="I33" s="49">
        <v>1</v>
      </c>
      <c r="J33" s="59">
        <v>1</v>
      </c>
      <c r="K33" s="58">
        <v>2</v>
      </c>
      <c r="L33" s="58">
        <v>1</v>
      </c>
      <c r="M33" s="58">
        <v>1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</row>
    <row r="34" spans="1:20" s="93" customFormat="1" ht="13.5" customHeight="1">
      <c r="A34" s="542"/>
      <c r="B34" s="491" t="s">
        <v>520</v>
      </c>
      <c r="C34" s="141" t="s">
        <v>702</v>
      </c>
      <c r="D34" s="55">
        <f>SUM(D35:D36)</f>
        <v>65</v>
      </c>
      <c r="E34" s="55">
        <f aca="true" t="shared" si="9" ref="E34:T34">SUM(E35:E36)</f>
        <v>65</v>
      </c>
      <c r="F34" s="55">
        <f t="shared" si="9"/>
        <v>0</v>
      </c>
      <c r="G34" s="55">
        <f>SUM(G35:G36)/2</f>
        <v>29</v>
      </c>
      <c r="H34" s="55">
        <f t="shared" si="9"/>
        <v>0</v>
      </c>
      <c r="I34" s="55">
        <f t="shared" si="9"/>
        <v>11</v>
      </c>
      <c r="J34" s="55">
        <f t="shared" si="9"/>
        <v>26</v>
      </c>
      <c r="K34" s="55">
        <f t="shared" si="9"/>
        <v>17</v>
      </c>
      <c r="L34" s="55">
        <f t="shared" si="9"/>
        <v>9</v>
      </c>
      <c r="M34" s="55">
        <f t="shared" si="9"/>
        <v>1</v>
      </c>
      <c r="N34" s="55">
        <f t="shared" si="9"/>
        <v>1</v>
      </c>
      <c r="O34" s="55">
        <f t="shared" si="9"/>
        <v>0</v>
      </c>
      <c r="P34" s="55">
        <f t="shared" si="9"/>
        <v>0</v>
      </c>
      <c r="Q34" s="55">
        <f t="shared" si="9"/>
        <v>0</v>
      </c>
      <c r="R34" s="55">
        <f t="shared" si="9"/>
        <v>0</v>
      </c>
      <c r="S34" s="55">
        <f t="shared" si="9"/>
        <v>0</v>
      </c>
      <c r="T34" s="55">
        <f t="shared" si="9"/>
        <v>0</v>
      </c>
    </row>
    <row r="35" spans="1:20" s="93" customFormat="1" ht="13.5" customHeight="1">
      <c r="A35" s="542"/>
      <c r="B35" s="492"/>
      <c r="C35" s="143" t="s">
        <v>703</v>
      </c>
      <c r="D35" s="49">
        <v>27</v>
      </c>
      <c r="E35" s="49">
        <v>27</v>
      </c>
      <c r="F35" s="58">
        <v>0</v>
      </c>
      <c r="G35" s="49">
        <v>31</v>
      </c>
      <c r="H35" s="49">
        <v>0</v>
      </c>
      <c r="I35" s="49">
        <v>2</v>
      </c>
      <c r="J35" s="59">
        <v>8</v>
      </c>
      <c r="K35" s="58">
        <v>10</v>
      </c>
      <c r="L35" s="58">
        <v>6</v>
      </c>
      <c r="M35" s="58">
        <v>0</v>
      </c>
      <c r="N35" s="58">
        <v>1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</row>
    <row r="36" spans="1:20" s="93" customFormat="1" ht="13.5" customHeight="1">
      <c r="A36" s="542"/>
      <c r="B36" s="493"/>
      <c r="C36" s="144" t="s">
        <v>704</v>
      </c>
      <c r="D36" s="49">
        <v>38</v>
      </c>
      <c r="E36" s="49">
        <v>38</v>
      </c>
      <c r="F36" s="58">
        <v>0</v>
      </c>
      <c r="G36" s="49">
        <v>27</v>
      </c>
      <c r="H36" s="49">
        <v>0</v>
      </c>
      <c r="I36" s="49">
        <v>9</v>
      </c>
      <c r="J36" s="59">
        <v>18</v>
      </c>
      <c r="K36" s="58">
        <v>7</v>
      </c>
      <c r="L36" s="58">
        <v>3</v>
      </c>
      <c r="M36" s="58">
        <v>1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</row>
    <row r="37" spans="1:20" s="93" customFormat="1" ht="13.5" customHeight="1">
      <c r="A37" s="542"/>
      <c r="B37" s="494" t="s">
        <v>521</v>
      </c>
      <c r="C37" s="141" t="s">
        <v>702</v>
      </c>
      <c r="D37" s="55">
        <f>SUM(D38:D39)</f>
        <v>145</v>
      </c>
      <c r="E37" s="55">
        <f aca="true" t="shared" si="10" ref="E37:T37">SUM(E38:E39)</f>
        <v>145</v>
      </c>
      <c r="F37" s="55">
        <f t="shared" si="10"/>
        <v>0</v>
      </c>
      <c r="G37" s="55">
        <f>SUM(G38:G39)/2</f>
        <v>30</v>
      </c>
      <c r="H37" s="55">
        <f t="shared" si="10"/>
        <v>0</v>
      </c>
      <c r="I37" s="55">
        <f t="shared" si="10"/>
        <v>14</v>
      </c>
      <c r="J37" s="55">
        <f t="shared" si="10"/>
        <v>61</v>
      </c>
      <c r="K37" s="55">
        <f t="shared" si="10"/>
        <v>38</v>
      </c>
      <c r="L37" s="55">
        <f t="shared" si="10"/>
        <v>23</v>
      </c>
      <c r="M37" s="55">
        <f t="shared" si="10"/>
        <v>7</v>
      </c>
      <c r="N37" s="55">
        <f t="shared" si="10"/>
        <v>2</v>
      </c>
      <c r="O37" s="55">
        <f t="shared" si="10"/>
        <v>0</v>
      </c>
      <c r="P37" s="55">
        <f t="shared" si="10"/>
        <v>0</v>
      </c>
      <c r="Q37" s="55">
        <f t="shared" si="10"/>
        <v>0</v>
      </c>
      <c r="R37" s="55">
        <f t="shared" si="10"/>
        <v>105</v>
      </c>
      <c r="S37" s="55">
        <f t="shared" si="10"/>
        <v>40</v>
      </c>
      <c r="T37" s="55">
        <f t="shared" si="10"/>
        <v>0</v>
      </c>
    </row>
    <row r="38" spans="1:20" s="93" customFormat="1" ht="13.5" customHeight="1">
      <c r="A38" s="538" t="s">
        <v>136</v>
      </c>
      <c r="B38" s="514"/>
      <c r="C38" s="143" t="s">
        <v>703</v>
      </c>
      <c r="D38" s="49">
        <v>81</v>
      </c>
      <c r="E38" s="49">
        <v>81</v>
      </c>
      <c r="F38" s="58">
        <v>0</v>
      </c>
      <c r="G38" s="49">
        <v>32</v>
      </c>
      <c r="H38" s="49">
        <v>0</v>
      </c>
      <c r="I38" s="49">
        <v>2</v>
      </c>
      <c r="J38" s="59">
        <v>29</v>
      </c>
      <c r="K38" s="58">
        <v>27</v>
      </c>
      <c r="L38" s="58">
        <v>14</v>
      </c>
      <c r="M38" s="58">
        <v>7</v>
      </c>
      <c r="N38" s="58">
        <v>2</v>
      </c>
      <c r="O38" s="58">
        <v>0</v>
      </c>
      <c r="P38" s="58">
        <v>0</v>
      </c>
      <c r="Q38" s="58">
        <v>0</v>
      </c>
      <c r="R38" s="58">
        <v>62</v>
      </c>
      <c r="S38" s="58">
        <v>19</v>
      </c>
      <c r="T38" s="62">
        <v>0</v>
      </c>
    </row>
    <row r="39" spans="1:20" s="93" customFormat="1" ht="13.5" customHeight="1">
      <c r="A39" s="538"/>
      <c r="B39" s="514"/>
      <c r="C39" s="144" t="s">
        <v>704</v>
      </c>
      <c r="D39" s="49">
        <v>64</v>
      </c>
      <c r="E39" s="49">
        <v>64</v>
      </c>
      <c r="F39" s="58">
        <v>0</v>
      </c>
      <c r="G39" s="49">
        <v>28</v>
      </c>
      <c r="H39" s="49">
        <v>0</v>
      </c>
      <c r="I39" s="49">
        <v>12</v>
      </c>
      <c r="J39" s="59">
        <v>32</v>
      </c>
      <c r="K39" s="58">
        <v>11</v>
      </c>
      <c r="L39" s="58">
        <v>9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43</v>
      </c>
      <c r="S39" s="58">
        <v>21</v>
      </c>
      <c r="T39" s="62">
        <v>0</v>
      </c>
    </row>
    <row r="40" spans="1:20" s="93" customFormat="1" ht="13.5" customHeight="1">
      <c r="A40" s="538"/>
      <c r="B40" s="491" t="s">
        <v>522</v>
      </c>
      <c r="C40" s="141" t="s">
        <v>702</v>
      </c>
      <c r="D40" s="55">
        <f>SUM(D41:D42)</f>
        <v>153</v>
      </c>
      <c r="E40" s="55">
        <f aca="true" t="shared" si="11" ref="E40:T40">SUM(E41:E42)</f>
        <v>153</v>
      </c>
      <c r="F40" s="55">
        <f t="shared" si="11"/>
        <v>0</v>
      </c>
      <c r="G40" s="55">
        <v>31</v>
      </c>
      <c r="H40" s="55">
        <f t="shared" si="11"/>
        <v>0</v>
      </c>
      <c r="I40" s="55">
        <f t="shared" si="11"/>
        <v>17</v>
      </c>
      <c r="J40" s="55">
        <f t="shared" si="11"/>
        <v>54</v>
      </c>
      <c r="K40" s="55">
        <f t="shared" si="11"/>
        <v>32</v>
      </c>
      <c r="L40" s="55">
        <f t="shared" si="11"/>
        <v>28</v>
      </c>
      <c r="M40" s="55">
        <f t="shared" si="11"/>
        <v>17</v>
      </c>
      <c r="N40" s="55">
        <f t="shared" si="11"/>
        <v>5</v>
      </c>
      <c r="O40" s="55">
        <f t="shared" si="11"/>
        <v>0</v>
      </c>
      <c r="P40" s="55">
        <f t="shared" si="11"/>
        <v>0</v>
      </c>
      <c r="Q40" s="55">
        <f t="shared" si="11"/>
        <v>0</v>
      </c>
      <c r="R40" s="55">
        <f t="shared" si="11"/>
        <v>107</v>
      </c>
      <c r="S40" s="55">
        <f t="shared" si="11"/>
        <v>46</v>
      </c>
      <c r="T40" s="55">
        <f t="shared" si="11"/>
        <v>0</v>
      </c>
    </row>
    <row r="41" spans="1:21" s="93" customFormat="1" ht="13.5" customHeight="1">
      <c r="A41" s="538"/>
      <c r="B41" s="492"/>
      <c r="C41" s="143" t="s">
        <v>703</v>
      </c>
      <c r="D41" s="49">
        <v>72</v>
      </c>
      <c r="E41" s="49">
        <v>72</v>
      </c>
      <c r="F41" s="58">
        <v>0</v>
      </c>
      <c r="G41" s="49">
        <v>33</v>
      </c>
      <c r="H41" s="49">
        <v>0</v>
      </c>
      <c r="I41" s="49">
        <v>6</v>
      </c>
      <c r="J41" s="59">
        <v>19</v>
      </c>
      <c r="K41" s="58">
        <v>17</v>
      </c>
      <c r="L41" s="58">
        <v>15</v>
      </c>
      <c r="M41" s="58">
        <v>11</v>
      </c>
      <c r="N41" s="58">
        <v>4</v>
      </c>
      <c r="O41" s="58">
        <v>0</v>
      </c>
      <c r="P41" s="58">
        <v>0</v>
      </c>
      <c r="Q41" s="58">
        <v>0</v>
      </c>
      <c r="R41" s="58">
        <v>48</v>
      </c>
      <c r="S41" s="58">
        <v>24</v>
      </c>
      <c r="T41" s="62">
        <v>0</v>
      </c>
      <c r="U41" s="94"/>
    </row>
    <row r="42" spans="1:21" s="93" customFormat="1" ht="13.5" customHeight="1">
      <c r="A42" s="538"/>
      <c r="B42" s="493"/>
      <c r="C42" s="144" t="s">
        <v>704</v>
      </c>
      <c r="D42" s="49">
        <v>81</v>
      </c>
      <c r="E42" s="49">
        <v>81</v>
      </c>
      <c r="F42" s="58">
        <v>0</v>
      </c>
      <c r="G42" s="49">
        <v>30</v>
      </c>
      <c r="H42" s="49">
        <v>0</v>
      </c>
      <c r="I42" s="49">
        <v>11</v>
      </c>
      <c r="J42" s="59">
        <v>35</v>
      </c>
      <c r="K42" s="58">
        <v>15</v>
      </c>
      <c r="L42" s="58">
        <v>13</v>
      </c>
      <c r="M42" s="58">
        <v>6</v>
      </c>
      <c r="N42" s="58">
        <v>1</v>
      </c>
      <c r="O42" s="58">
        <v>0</v>
      </c>
      <c r="P42" s="58">
        <v>0</v>
      </c>
      <c r="Q42" s="58">
        <v>0</v>
      </c>
      <c r="R42" s="58">
        <v>59</v>
      </c>
      <c r="S42" s="58">
        <v>22</v>
      </c>
      <c r="T42" s="62">
        <v>0</v>
      </c>
      <c r="U42" s="94"/>
    </row>
    <row r="43" spans="1:20" s="93" customFormat="1" ht="13.5" customHeight="1">
      <c r="A43" s="538"/>
      <c r="B43" s="491" t="s">
        <v>532</v>
      </c>
      <c r="C43" s="141" t="s">
        <v>702</v>
      </c>
      <c r="D43" s="55">
        <f>SUM(D44:D45)</f>
        <v>167</v>
      </c>
      <c r="E43" s="55">
        <f aca="true" t="shared" si="12" ref="E43:T43">SUM(E44:E45)</f>
        <v>167</v>
      </c>
      <c r="F43" s="55">
        <f t="shared" si="12"/>
        <v>0</v>
      </c>
      <c r="G43" s="55">
        <f>SUM(G44:G45)/2</f>
        <v>30</v>
      </c>
      <c r="H43" s="55">
        <f t="shared" si="12"/>
        <v>0</v>
      </c>
      <c r="I43" s="55">
        <f t="shared" si="12"/>
        <v>14</v>
      </c>
      <c r="J43" s="55">
        <f t="shared" si="12"/>
        <v>71</v>
      </c>
      <c r="K43" s="55">
        <f t="shared" si="12"/>
        <v>47</v>
      </c>
      <c r="L43" s="55">
        <f t="shared" si="12"/>
        <v>16</v>
      </c>
      <c r="M43" s="55">
        <f t="shared" si="12"/>
        <v>12</v>
      </c>
      <c r="N43" s="55">
        <f t="shared" si="12"/>
        <v>5</v>
      </c>
      <c r="O43" s="55">
        <f t="shared" si="12"/>
        <v>2</v>
      </c>
      <c r="P43" s="55">
        <f t="shared" si="12"/>
        <v>0</v>
      </c>
      <c r="Q43" s="55">
        <f t="shared" si="12"/>
        <v>2</v>
      </c>
      <c r="R43" s="55">
        <f t="shared" si="12"/>
        <v>128</v>
      </c>
      <c r="S43" s="55">
        <f t="shared" si="12"/>
        <v>36</v>
      </c>
      <c r="T43" s="55">
        <f t="shared" si="12"/>
        <v>1</v>
      </c>
    </row>
    <row r="44" spans="1:21" s="93" customFormat="1" ht="13.5" customHeight="1">
      <c r="A44" s="556"/>
      <c r="B44" s="492"/>
      <c r="C44" s="143" t="s">
        <v>703</v>
      </c>
      <c r="D44" s="49">
        <v>73</v>
      </c>
      <c r="E44" s="49">
        <v>73</v>
      </c>
      <c r="F44" s="49">
        <v>0</v>
      </c>
      <c r="G44" s="49">
        <v>31</v>
      </c>
      <c r="H44" s="49">
        <v>0</v>
      </c>
      <c r="I44" s="49">
        <v>5</v>
      </c>
      <c r="J44" s="49">
        <v>26</v>
      </c>
      <c r="K44" s="49">
        <v>23</v>
      </c>
      <c r="L44" s="49">
        <v>7</v>
      </c>
      <c r="M44" s="49">
        <v>7</v>
      </c>
      <c r="N44" s="49">
        <v>4</v>
      </c>
      <c r="O44" s="49">
        <v>1</v>
      </c>
      <c r="P44" s="49">
        <v>0</v>
      </c>
      <c r="Q44" s="49">
        <v>1</v>
      </c>
      <c r="R44" s="49">
        <v>55</v>
      </c>
      <c r="S44" s="49">
        <v>16</v>
      </c>
      <c r="T44" s="49">
        <v>1</v>
      </c>
      <c r="U44" s="94"/>
    </row>
    <row r="45" spans="1:21" s="93" customFormat="1" ht="13.5" customHeight="1">
      <c r="A45" s="538"/>
      <c r="B45" s="493"/>
      <c r="C45" s="144" t="s">
        <v>704</v>
      </c>
      <c r="D45" s="49">
        <v>94</v>
      </c>
      <c r="E45" s="49">
        <v>94</v>
      </c>
      <c r="F45" s="49">
        <v>0</v>
      </c>
      <c r="G45" s="49">
        <v>29</v>
      </c>
      <c r="H45" s="49">
        <v>0</v>
      </c>
      <c r="I45" s="49">
        <v>9</v>
      </c>
      <c r="J45" s="49">
        <v>45</v>
      </c>
      <c r="K45" s="49">
        <v>24</v>
      </c>
      <c r="L45" s="49">
        <v>9</v>
      </c>
      <c r="M45" s="49">
        <v>5</v>
      </c>
      <c r="N45" s="49">
        <v>1</v>
      </c>
      <c r="O45" s="49">
        <v>1</v>
      </c>
      <c r="P45" s="49">
        <v>0</v>
      </c>
      <c r="Q45" s="49">
        <v>1</v>
      </c>
      <c r="R45" s="49">
        <v>73</v>
      </c>
      <c r="S45" s="49">
        <v>20</v>
      </c>
      <c r="T45" s="49">
        <v>0</v>
      </c>
      <c r="U45" s="94"/>
    </row>
    <row r="46" spans="1:20" s="85" customFormat="1" ht="13.5" customHeight="1">
      <c r="A46" s="538"/>
      <c r="B46" s="491" t="s">
        <v>533</v>
      </c>
      <c r="C46" s="141" t="s">
        <v>702</v>
      </c>
      <c r="D46" s="55">
        <f>SUM(D47:D48)</f>
        <v>130</v>
      </c>
      <c r="E46" s="55">
        <f aca="true" t="shared" si="13" ref="E46:T46">SUM(E47:E48)</f>
        <v>130</v>
      </c>
      <c r="F46" s="55">
        <f t="shared" si="13"/>
        <v>0</v>
      </c>
      <c r="G46" s="55">
        <v>29</v>
      </c>
      <c r="H46" s="55">
        <f t="shared" si="13"/>
        <v>0</v>
      </c>
      <c r="I46" s="55">
        <f t="shared" si="13"/>
        <v>14</v>
      </c>
      <c r="J46" s="55">
        <f t="shared" si="13"/>
        <v>52</v>
      </c>
      <c r="K46" s="55">
        <f t="shared" si="13"/>
        <v>34</v>
      </c>
      <c r="L46" s="55">
        <f t="shared" si="13"/>
        <v>20</v>
      </c>
      <c r="M46" s="55">
        <f t="shared" si="13"/>
        <v>10</v>
      </c>
      <c r="N46" s="55">
        <f t="shared" si="13"/>
        <v>0</v>
      </c>
      <c r="O46" s="55">
        <f t="shared" si="13"/>
        <v>0</v>
      </c>
      <c r="P46" s="55">
        <f t="shared" si="13"/>
        <v>0</v>
      </c>
      <c r="Q46" s="55">
        <f t="shared" si="13"/>
        <v>1</v>
      </c>
      <c r="R46" s="55">
        <f t="shared" si="13"/>
        <v>102</v>
      </c>
      <c r="S46" s="55">
        <f t="shared" si="13"/>
        <v>27</v>
      </c>
      <c r="T46" s="55">
        <f t="shared" si="13"/>
        <v>0</v>
      </c>
    </row>
    <row r="47" spans="1:20" s="85" customFormat="1" ht="13.5" customHeight="1">
      <c r="A47" s="538"/>
      <c r="B47" s="492"/>
      <c r="C47" s="143" t="s">
        <v>703</v>
      </c>
      <c r="D47" s="49">
        <v>57</v>
      </c>
      <c r="E47" s="49">
        <v>57</v>
      </c>
      <c r="F47" s="59">
        <v>0</v>
      </c>
      <c r="G47" s="58">
        <v>30</v>
      </c>
      <c r="H47" s="58">
        <v>0</v>
      </c>
      <c r="I47" s="58">
        <v>3</v>
      </c>
      <c r="J47" s="58">
        <v>23</v>
      </c>
      <c r="K47" s="58">
        <v>18</v>
      </c>
      <c r="L47" s="58">
        <v>9</v>
      </c>
      <c r="M47" s="58">
        <v>4</v>
      </c>
      <c r="N47" s="58">
        <v>0</v>
      </c>
      <c r="O47" s="58">
        <v>0</v>
      </c>
      <c r="P47" s="59">
        <v>0</v>
      </c>
      <c r="Q47" s="59">
        <v>1</v>
      </c>
      <c r="R47" s="59">
        <v>44</v>
      </c>
      <c r="S47" s="59">
        <v>12</v>
      </c>
      <c r="T47" s="49">
        <v>0</v>
      </c>
    </row>
    <row r="48" spans="1:20" s="85" customFormat="1" ht="13.5" customHeight="1">
      <c r="A48" s="538"/>
      <c r="B48" s="493"/>
      <c r="C48" s="124" t="s">
        <v>704</v>
      </c>
      <c r="D48" s="64">
        <v>73</v>
      </c>
      <c r="E48" s="49">
        <v>73</v>
      </c>
      <c r="F48" s="59">
        <v>0</v>
      </c>
      <c r="G48" s="58">
        <v>29</v>
      </c>
      <c r="H48" s="58">
        <v>0</v>
      </c>
      <c r="I48" s="58">
        <v>11</v>
      </c>
      <c r="J48" s="58">
        <v>29</v>
      </c>
      <c r="K48" s="58">
        <v>16</v>
      </c>
      <c r="L48" s="58">
        <v>11</v>
      </c>
      <c r="M48" s="58">
        <v>6</v>
      </c>
      <c r="N48" s="58">
        <v>0</v>
      </c>
      <c r="O48" s="58">
        <v>0</v>
      </c>
      <c r="P48" s="59">
        <v>0</v>
      </c>
      <c r="Q48" s="59">
        <v>0</v>
      </c>
      <c r="R48" s="59">
        <v>58</v>
      </c>
      <c r="S48" s="59">
        <v>15</v>
      </c>
      <c r="T48" s="49">
        <v>0</v>
      </c>
    </row>
    <row r="49" s="85" customFormat="1" ht="13.5" customHeight="1">
      <c r="A49" s="268"/>
    </row>
    <row r="50" s="85" customFormat="1" ht="13.5" customHeight="1">
      <c r="A50" s="268"/>
    </row>
    <row r="51" s="85" customFormat="1" ht="16.5" customHeight="1"/>
    <row r="52" s="85" customFormat="1" ht="16.5" customHeight="1"/>
    <row r="53" s="85" customFormat="1" ht="13.5" customHeight="1">
      <c r="A53" s="268"/>
    </row>
    <row r="54" s="85" customFormat="1" ht="9" customHeight="1">
      <c r="A54" s="268"/>
    </row>
    <row r="55" spans="1:20" s="93" customFormat="1" ht="16.5" customHeight="1">
      <c r="A55" s="535" t="str">
        <f>"- "&amp;Sheet1!T33&amp;" -"</f>
        <v>- 212 -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"&amp;Sheet1!U33&amp;" -"</f>
        <v>- 213 -</v>
      </c>
      <c r="L55" s="535"/>
      <c r="M55" s="535"/>
      <c r="N55" s="535"/>
      <c r="O55" s="535"/>
      <c r="P55" s="535"/>
      <c r="Q55" s="535"/>
      <c r="R55" s="535"/>
      <c r="S55" s="535"/>
      <c r="T55" s="535"/>
    </row>
    <row r="56" s="93" customFormat="1" ht="13.5" customHeight="1">
      <c r="A56" s="268"/>
    </row>
    <row r="57" s="93" customFormat="1" ht="13.5" customHeight="1">
      <c r="A57" s="268"/>
    </row>
    <row r="58" s="93" customFormat="1" ht="13.5" customHeight="1">
      <c r="A58" s="269"/>
    </row>
    <row r="59" s="93" customFormat="1" ht="13.5" customHeight="1">
      <c r="A59" s="269"/>
    </row>
    <row r="60" s="93" customFormat="1" ht="13.5" customHeight="1">
      <c r="A60" s="269"/>
    </row>
    <row r="64" spans="1:20" ht="15.75">
      <c r="A64" s="63"/>
      <c r="B64" s="63"/>
      <c r="C64" s="63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</sheetData>
  <sheetProtection/>
  <mergeCells count="32">
    <mergeCell ref="F5:F6"/>
    <mergeCell ref="D5:D6"/>
    <mergeCell ref="A1:J1"/>
    <mergeCell ref="K1:T1"/>
    <mergeCell ref="Q5:T5"/>
    <mergeCell ref="L3:S3"/>
    <mergeCell ref="K5:P5"/>
    <mergeCell ref="C3:I3"/>
    <mergeCell ref="H5:J5"/>
    <mergeCell ref="G5:G6"/>
    <mergeCell ref="K55:T55"/>
    <mergeCell ref="B43:B45"/>
    <mergeCell ref="A55:J55"/>
    <mergeCell ref="B37:B39"/>
    <mergeCell ref="B46:B48"/>
    <mergeCell ref="A38:A48"/>
    <mergeCell ref="A28:A37"/>
    <mergeCell ref="B40:B42"/>
    <mergeCell ref="B28:B30"/>
    <mergeCell ref="A5:C6"/>
    <mergeCell ref="E5:E6"/>
    <mergeCell ref="B25:B27"/>
    <mergeCell ref="B7:B9"/>
    <mergeCell ref="B10:B12"/>
    <mergeCell ref="B19:B21"/>
    <mergeCell ref="B13:B15"/>
    <mergeCell ref="B34:B36"/>
    <mergeCell ref="B22:B24"/>
    <mergeCell ref="B16:B18"/>
    <mergeCell ref="A7:A17"/>
    <mergeCell ref="A18:A27"/>
    <mergeCell ref="B31:B33"/>
  </mergeCells>
  <printOptions/>
  <pageMargins left="0.6299212598425197" right="0.3937007874015748" top="0.5511811023622047" bottom="0.010416666666666666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S55"/>
  <sheetViews>
    <sheetView view="pageLayout" zoomScaleSheetLayoutView="85" workbookViewId="0" topLeftCell="A34">
      <selection activeCell="A55" sqref="A55:J55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75390625" style="89" customWidth="1"/>
    <col min="18" max="18" width="9.875" style="89" customWidth="1"/>
    <col min="19" max="19" width="8.75390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565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220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698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695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710</v>
      </c>
      <c r="E5" s="507" t="s">
        <v>705</v>
      </c>
      <c r="F5" s="507" t="s">
        <v>706</v>
      </c>
      <c r="G5" s="507" t="s">
        <v>707</v>
      </c>
      <c r="H5" s="495" t="s">
        <v>699</v>
      </c>
      <c r="I5" s="496"/>
      <c r="J5" s="496"/>
      <c r="K5" s="496" t="s">
        <v>667</v>
      </c>
      <c r="L5" s="496"/>
      <c r="M5" s="496"/>
      <c r="N5" s="496"/>
      <c r="O5" s="496"/>
      <c r="P5" s="514"/>
      <c r="Q5" s="495" t="s">
        <v>709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27"/>
      <c r="E6" s="527"/>
      <c r="F6" s="531"/>
      <c r="G6" s="528"/>
      <c r="H6" s="253" t="s">
        <v>785</v>
      </c>
      <c r="I6" s="253" t="s">
        <v>786</v>
      </c>
      <c r="J6" s="253" t="s">
        <v>787</v>
      </c>
      <c r="K6" s="254" t="s">
        <v>788</v>
      </c>
      <c r="L6" s="254" t="s">
        <v>789</v>
      </c>
      <c r="M6" s="253" t="s">
        <v>790</v>
      </c>
      <c r="N6" s="253" t="s">
        <v>791</v>
      </c>
      <c r="O6" s="253" t="s">
        <v>792</v>
      </c>
      <c r="P6" s="253" t="s">
        <v>793</v>
      </c>
      <c r="Q6" s="256" t="s">
        <v>700</v>
      </c>
      <c r="R6" s="255" t="s">
        <v>708</v>
      </c>
      <c r="S6" s="255" t="s">
        <v>701</v>
      </c>
      <c r="T6" s="119" t="s">
        <v>711</v>
      </c>
    </row>
    <row r="7" spans="1:45" s="93" customFormat="1" ht="13.5" customHeight="1">
      <c r="A7" s="541" t="s">
        <v>564</v>
      </c>
      <c r="B7" s="507" t="s">
        <v>534</v>
      </c>
      <c r="C7" s="141" t="s">
        <v>687</v>
      </c>
      <c r="D7" s="140">
        <f>SUM(D8:D9)</f>
        <v>139</v>
      </c>
      <c r="E7" s="56">
        <f aca="true" t="shared" si="0" ref="E7:T7">SUM(E8:E9)</f>
        <v>139</v>
      </c>
      <c r="F7" s="56">
        <f t="shared" si="0"/>
        <v>0</v>
      </c>
      <c r="G7" s="56">
        <f>SUM(G8:G9)/2</f>
        <v>29.5</v>
      </c>
      <c r="H7" s="56">
        <f t="shared" si="0"/>
        <v>0</v>
      </c>
      <c r="I7" s="56">
        <f t="shared" si="0"/>
        <v>14</v>
      </c>
      <c r="J7" s="56">
        <f t="shared" si="0"/>
        <v>59</v>
      </c>
      <c r="K7" s="56">
        <f t="shared" si="0"/>
        <v>39</v>
      </c>
      <c r="L7" s="56">
        <f t="shared" si="0"/>
        <v>15</v>
      </c>
      <c r="M7" s="56">
        <f t="shared" si="0"/>
        <v>9</v>
      </c>
      <c r="N7" s="56">
        <f t="shared" si="0"/>
        <v>3</v>
      </c>
      <c r="O7" s="56">
        <f t="shared" si="0"/>
        <v>0</v>
      </c>
      <c r="P7" s="56">
        <f t="shared" si="0"/>
        <v>0</v>
      </c>
      <c r="Q7" s="56">
        <f t="shared" si="0"/>
        <v>2</v>
      </c>
      <c r="R7" s="56">
        <f t="shared" si="0"/>
        <v>122</v>
      </c>
      <c r="S7" s="56">
        <f t="shared" si="0"/>
        <v>15</v>
      </c>
      <c r="T7" s="56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516"/>
      <c r="C8" s="143" t="s">
        <v>688</v>
      </c>
      <c r="D8" s="10">
        <v>76</v>
      </c>
      <c r="E8" s="10">
        <v>76</v>
      </c>
      <c r="F8" s="10">
        <v>0</v>
      </c>
      <c r="G8" s="10">
        <v>31</v>
      </c>
      <c r="H8" s="10">
        <v>0</v>
      </c>
      <c r="I8" s="10">
        <v>4</v>
      </c>
      <c r="J8" s="10">
        <v>29</v>
      </c>
      <c r="K8" s="10">
        <v>22</v>
      </c>
      <c r="L8" s="10">
        <v>10</v>
      </c>
      <c r="M8" s="10">
        <v>9</v>
      </c>
      <c r="N8" s="10">
        <v>2</v>
      </c>
      <c r="O8" s="10">
        <v>0</v>
      </c>
      <c r="P8" s="10">
        <v>0</v>
      </c>
      <c r="Q8" s="10">
        <v>1</v>
      </c>
      <c r="R8" s="10">
        <v>69</v>
      </c>
      <c r="S8" s="10">
        <v>6</v>
      </c>
      <c r="T8" s="10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517"/>
      <c r="C9" s="144" t="s">
        <v>689</v>
      </c>
      <c r="D9" s="10">
        <v>63</v>
      </c>
      <c r="E9" s="10">
        <v>63</v>
      </c>
      <c r="F9" s="10">
        <v>0</v>
      </c>
      <c r="G9" s="10">
        <v>28</v>
      </c>
      <c r="H9" s="10">
        <v>0</v>
      </c>
      <c r="I9" s="10">
        <v>10</v>
      </c>
      <c r="J9" s="10">
        <v>30</v>
      </c>
      <c r="K9" s="10">
        <v>17</v>
      </c>
      <c r="L9" s="10">
        <v>5</v>
      </c>
      <c r="M9" s="10">
        <v>0</v>
      </c>
      <c r="N9" s="10">
        <v>1</v>
      </c>
      <c r="O9" s="10">
        <v>0</v>
      </c>
      <c r="P9" s="10">
        <v>0</v>
      </c>
      <c r="Q9" s="10">
        <v>1</v>
      </c>
      <c r="R9" s="10">
        <v>53</v>
      </c>
      <c r="S9" s="10">
        <v>9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s="93" customFormat="1" ht="13.5" customHeight="1">
      <c r="A10" s="542"/>
      <c r="B10" s="507" t="s">
        <v>535</v>
      </c>
      <c r="C10" s="141" t="s">
        <v>687</v>
      </c>
      <c r="D10" s="55">
        <f>SUM(D11:D12)</f>
        <v>166</v>
      </c>
      <c r="E10" s="55">
        <f aca="true" t="shared" si="1" ref="E10:T10">SUM(E11:E12)</f>
        <v>166</v>
      </c>
      <c r="F10" s="55">
        <f t="shared" si="1"/>
        <v>0</v>
      </c>
      <c r="G10" s="55">
        <f>SUM(G11:G12)/2</f>
        <v>30</v>
      </c>
      <c r="H10" s="55">
        <f t="shared" si="1"/>
        <v>0</v>
      </c>
      <c r="I10" s="55">
        <f t="shared" si="1"/>
        <v>21</v>
      </c>
      <c r="J10" s="55">
        <f t="shared" si="1"/>
        <v>68</v>
      </c>
      <c r="K10" s="55">
        <f t="shared" si="1"/>
        <v>42</v>
      </c>
      <c r="L10" s="55">
        <f t="shared" si="1"/>
        <v>17</v>
      </c>
      <c r="M10" s="55">
        <f t="shared" si="1"/>
        <v>12</v>
      </c>
      <c r="N10" s="55">
        <f t="shared" si="1"/>
        <v>4</v>
      </c>
      <c r="O10" s="55">
        <f t="shared" si="1"/>
        <v>2</v>
      </c>
      <c r="P10" s="55">
        <f t="shared" si="1"/>
        <v>0</v>
      </c>
      <c r="Q10" s="55">
        <f t="shared" si="1"/>
        <v>1</v>
      </c>
      <c r="R10" s="55">
        <f t="shared" si="1"/>
        <v>139</v>
      </c>
      <c r="S10" s="55">
        <f t="shared" si="1"/>
        <v>25</v>
      </c>
      <c r="T10" s="55">
        <f t="shared" si="1"/>
        <v>1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s="93" customFormat="1" ht="13.5" customHeight="1">
      <c r="A11" s="542"/>
      <c r="B11" s="516"/>
      <c r="C11" s="143" t="s">
        <v>688</v>
      </c>
      <c r="D11" s="10">
        <v>74</v>
      </c>
      <c r="E11" s="10">
        <v>74</v>
      </c>
      <c r="F11" s="10">
        <v>0</v>
      </c>
      <c r="G11" s="10">
        <v>31</v>
      </c>
      <c r="H11" s="10">
        <v>0</v>
      </c>
      <c r="I11" s="10">
        <v>5</v>
      </c>
      <c r="J11" s="10">
        <v>23</v>
      </c>
      <c r="K11" s="10">
        <v>30</v>
      </c>
      <c r="L11" s="10">
        <v>5</v>
      </c>
      <c r="M11" s="10">
        <v>6</v>
      </c>
      <c r="N11" s="10">
        <v>4</v>
      </c>
      <c r="O11" s="10">
        <v>1</v>
      </c>
      <c r="P11" s="10">
        <v>0</v>
      </c>
      <c r="Q11" s="10">
        <v>0</v>
      </c>
      <c r="R11" s="10">
        <v>64</v>
      </c>
      <c r="S11" s="10">
        <v>9</v>
      </c>
      <c r="T11" s="10">
        <v>1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s="93" customFormat="1" ht="13.5" customHeight="1">
      <c r="A12" s="564" t="s">
        <v>136</v>
      </c>
      <c r="B12" s="517"/>
      <c r="C12" s="144" t="s">
        <v>689</v>
      </c>
      <c r="D12" s="10">
        <v>92</v>
      </c>
      <c r="E12" s="10">
        <v>92</v>
      </c>
      <c r="F12" s="10">
        <v>0</v>
      </c>
      <c r="G12" s="10">
        <v>29</v>
      </c>
      <c r="H12" s="10">
        <v>0</v>
      </c>
      <c r="I12" s="10">
        <v>16</v>
      </c>
      <c r="J12" s="10">
        <v>45</v>
      </c>
      <c r="K12" s="10">
        <v>12</v>
      </c>
      <c r="L12" s="10">
        <v>12</v>
      </c>
      <c r="M12" s="10">
        <v>6</v>
      </c>
      <c r="N12" s="10">
        <v>0</v>
      </c>
      <c r="O12" s="10">
        <v>1</v>
      </c>
      <c r="P12" s="10">
        <v>0</v>
      </c>
      <c r="Q12" s="10">
        <v>1</v>
      </c>
      <c r="R12" s="10">
        <v>75</v>
      </c>
      <c r="S12" s="10">
        <v>16</v>
      </c>
      <c r="T12" s="10"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s="93" customFormat="1" ht="13.5" customHeight="1">
      <c r="A13" s="564"/>
      <c r="B13" s="507" t="s">
        <v>140</v>
      </c>
      <c r="C13" s="141" t="s">
        <v>687</v>
      </c>
      <c r="D13" s="55">
        <f>SUM(D14:D15)</f>
        <v>126</v>
      </c>
      <c r="E13" s="55">
        <f aca="true" t="shared" si="2" ref="E13:T13">SUM(E14:E15)</f>
        <v>126</v>
      </c>
      <c r="F13" s="55">
        <f t="shared" si="2"/>
        <v>0</v>
      </c>
      <c r="G13" s="55">
        <f>SUM(G14:G15)/2</f>
        <v>30.5</v>
      </c>
      <c r="H13" s="55">
        <f t="shared" si="2"/>
        <v>0</v>
      </c>
      <c r="I13" s="55">
        <f t="shared" si="2"/>
        <v>13</v>
      </c>
      <c r="J13" s="55">
        <f t="shared" si="2"/>
        <v>52</v>
      </c>
      <c r="K13" s="55">
        <f t="shared" si="2"/>
        <v>30</v>
      </c>
      <c r="L13" s="55">
        <f t="shared" si="2"/>
        <v>17</v>
      </c>
      <c r="M13" s="55">
        <f t="shared" si="2"/>
        <v>8</v>
      </c>
      <c r="N13" s="55">
        <f t="shared" si="2"/>
        <v>3</v>
      </c>
      <c r="O13" s="55">
        <f t="shared" si="2"/>
        <v>2</v>
      </c>
      <c r="P13" s="55">
        <f t="shared" si="2"/>
        <v>1</v>
      </c>
      <c r="Q13" s="55">
        <f t="shared" si="2"/>
        <v>10</v>
      </c>
      <c r="R13" s="55">
        <f t="shared" si="2"/>
        <v>89</v>
      </c>
      <c r="S13" s="55">
        <f t="shared" si="2"/>
        <v>27</v>
      </c>
      <c r="T13" s="55">
        <f t="shared" si="2"/>
        <v>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s="93" customFormat="1" ht="13.5" customHeight="1">
      <c r="A14" s="564"/>
      <c r="B14" s="516"/>
      <c r="C14" s="143" t="s">
        <v>688</v>
      </c>
      <c r="D14" s="10">
        <v>67</v>
      </c>
      <c r="E14" s="10">
        <v>67</v>
      </c>
      <c r="F14" s="10">
        <v>0</v>
      </c>
      <c r="G14" s="10">
        <v>31</v>
      </c>
      <c r="H14" s="10">
        <v>0</v>
      </c>
      <c r="I14" s="10">
        <v>4</v>
      </c>
      <c r="J14" s="10">
        <v>29</v>
      </c>
      <c r="K14" s="10">
        <v>18</v>
      </c>
      <c r="L14" s="10">
        <v>9</v>
      </c>
      <c r="M14" s="10">
        <v>2</v>
      </c>
      <c r="N14" s="10">
        <v>2</v>
      </c>
      <c r="O14" s="10">
        <v>2</v>
      </c>
      <c r="P14" s="10">
        <v>1</v>
      </c>
      <c r="Q14" s="10">
        <v>8</v>
      </c>
      <c r="R14" s="10">
        <v>46</v>
      </c>
      <c r="S14" s="10">
        <v>13</v>
      </c>
      <c r="T14" s="10">
        <v>0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s="93" customFormat="1" ht="13.5" customHeight="1">
      <c r="A15" s="564"/>
      <c r="B15" s="517"/>
      <c r="C15" s="144" t="s">
        <v>689</v>
      </c>
      <c r="D15" s="10">
        <v>59</v>
      </c>
      <c r="E15" s="10">
        <v>59</v>
      </c>
      <c r="F15" s="10">
        <v>0</v>
      </c>
      <c r="G15" s="10">
        <v>30</v>
      </c>
      <c r="H15" s="10">
        <v>0</v>
      </c>
      <c r="I15" s="10">
        <v>9</v>
      </c>
      <c r="J15" s="10">
        <v>23</v>
      </c>
      <c r="K15" s="10">
        <v>12</v>
      </c>
      <c r="L15" s="10">
        <v>8</v>
      </c>
      <c r="M15" s="10">
        <v>6</v>
      </c>
      <c r="N15" s="10">
        <v>1</v>
      </c>
      <c r="O15" s="10">
        <v>0</v>
      </c>
      <c r="P15" s="10">
        <v>0</v>
      </c>
      <c r="Q15" s="10">
        <v>2</v>
      </c>
      <c r="R15" s="10">
        <v>43</v>
      </c>
      <c r="S15" s="10">
        <v>14</v>
      </c>
      <c r="T15" s="10">
        <v>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s="93" customFormat="1" ht="13.5" customHeight="1">
      <c r="A16" s="564"/>
      <c r="B16" s="507" t="s">
        <v>139</v>
      </c>
      <c r="C16" s="141" t="s">
        <v>687</v>
      </c>
      <c r="D16" s="55">
        <f>SUM(D17:D18)</f>
        <v>130</v>
      </c>
      <c r="E16" s="55">
        <f aca="true" t="shared" si="3" ref="E16:T16">SUM(E17:E18)</f>
        <v>130</v>
      </c>
      <c r="F16" s="55">
        <f t="shared" si="3"/>
        <v>0</v>
      </c>
      <c r="G16" s="55">
        <f>SUM(G17:G18)/2</f>
        <v>31</v>
      </c>
      <c r="H16" s="55">
        <f t="shared" si="3"/>
        <v>0</v>
      </c>
      <c r="I16" s="55">
        <f t="shared" si="3"/>
        <v>18</v>
      </c>
      <c r="J16" s="55">
        <f t="shared" si="3"/>
        <v>49</v>
      </c>
      <c r="K16" s="55">
        <f t="shared" si="3"/>
        <v>34</v>
      </c>
      <c r="L16" s="55">
        <f t="shared" si="3"/>
        <v>15</v>
      </c>
      <c r="M16" s="55">
        <f t="shared" si="3"/>
        <v>6</v>
      </c>
      <c r="N16" s="55">
        <f t="shared" si="3"/>
        <v>7</v>
      </c>
      <c r="O16" s="55">
        <f t="shared" si="3"/>
        <v>1</v>
      </c>
      <c r="P16" s="55">
        <f t="shared" si="3"/>
        <v>0</v>
      </c>
      <c r="Q16" s="55">
        <f t="shared" si="3"/>
        <v>11</v>
      </c>
      <c r="R16" s="55">
        <f t="shared" si="3"/>
        <v>109</v>
      </c>
      <c r="S16" s="55">
        <f t="shared" si="3"/>
        <v>10</v>
      </c>
      <c r="T16" s="55">
        <f t="shared" si="3"/>
        <v>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s="93" customFormat="1" ht="13.5" customHeight="1">
      <c r="A17" s="564"/>
      <c r="B17" s="516"/>
      <c r="C17" s="143" t="s">
        <v>688</v>
      </c>
      <c r="D17" s="10">
        <v>50</v>
      </c>
      <c r="E17" s="10">
        <v>50</v>
      </c>
      <c r="F17" s="10">
        <v>0</v>
      </c>
      <c r="G17" s="10">
        <v>31</v>
      </c>
      <c r="H17" s="10">
        <v>0</v>
      </c>
      <c r="I17" s="10">
        <v>3</v>
      </c>
      <c r="J17" s="10">
        <v>21</v>
      </c>
      <c r="K17" s="10">
        <v>17</v>
      </c>
      <c r="L17" s="10">
        <v>4</v>
      </c>
      <c r="M17" s="10">
        <v>1</v>
      </c>
      <c r="N17" s="10">
        <v>3</v>
      </c>
      <c r="O17" s="10">
        <v>1</v>
      </c>
      <c r="P17" s="10">
        <v>0</v>
      </c>
      <c r="Q17" s="10">
        <v>6</v>
      </c>
      <c r="R17" s="10">
        <v>38</v>
      </c>
      <c r="S17" s="10">
        <v>6</v>
      </c>
      <c r="T17" s="10">
        <v>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s="93" customFormat="1" ht="13.5" customHeight="1">
      <c r="A18" s="564"/>
      <c r="B18" s="517"/>
      <c r="C18" s="143" t="s">
        <v>689</v>
      </c>
      <c r="D18" s="31">
        <v>80</v>
      </c>
      <c r="E18" s="10">
        <v>80</v>
      </c>
      <c r="F18" s="10">
        <v>0</v>
      </c>
      <c r="G18" s="10">
        <v>31</v>
      </c>
      <c r="H18" s="10">
        <v>0</v>
      </c>
      <c r="I18" s="10">
        <v>15</v>
      </c>
      <c r="J18" s="10">
        <v>28</v>
      </c>
      <c r="K18" s="10">
        <v>17</v>
      </c>
      <c r="L18" s="10">
        <v>11</v>
      </c>
      <c r="M18" s="10">
        <v>5</v>
      </c>
      <c r="N18" s="10">
        <v>4</v>
      </c>
      <c r="O18" s="10">
        <v>0</v>
      </c>
      <c r="P18" s="10">
        <v>0</v>
      </c>
      <c r="Q18" s="10">
        <v>5</v>
      </c>
      <c r="R18" s="10">
        <v>71</v>
      </c>
      <c r="S18" s="10">
        <v>4</v>
      </c>
      <c r="T18" s="31">
        <v>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s="93" customFormat="1" ht="13.5" customHeight="1">
      <c r="A19" s="541" t="s">
        <v>141</v>
      </c>
      <c r="B19" s="536" t="s">
        <v>134</v>
      </c>
      <c r="C19" s="234" t="s">
        <v>687</v>
      </c>
      <c r="D19" s="54">
        <f>SUM(D22,D25,D28,D31,D34,D37,D40,D43,D46)+'表32(續11)'!D7</f>
        <v>1877</v>
      </c>
      <c r="E19" s="56">
        <f>SUM(E22,E25,E28,E31,E34,E37,E40,E43,E46)+'表32(續11)'!E7</f>
        <v>1873</v>
      </c>
      <c r="F19" s="56">
        <f>SUM(F22,F25,F28,F31,F34,F37,F40,F43,F46)+'表32(續11)'!F7</f>
        <v>4</v>
      </c>
      <c r="G19" s="56">
        <f>SUM(G20:G21)/2</f>
        <v>33.5</v>
      </c>
      <c r="H19" s="56">
        <f>SUM(H22,H25,H28,H31,H34,H37,H40,H43,H46)+'表32(續11)'!H7</f>
        <v>0</v>
      </c>
      <c r="I19" s="56">
        <f>SUM(I22,I25,I28,I31,I34,I37,I40,I43,I46)+'表32(續11)'!I7</f>
        <v>131</v>
      </c>
      <c r="J19" s="56">
        <f>SUM(J22,J25,J28,J31,J34,J37,J40,J43,J46)+'表32(續11)'!J7</f>
        <v>532</v>
      </c>
      <c r="K19" s="56">
        <f>SUM(K22,K25,K28,K31,K34,K37,K40,K43,K46)+'表32(續11)'!K7</f>
        <v>421</v>
      </c>
      <c r="L19" s="56">
        <f>SUM(L22,L25,L28,L31,L34,L37,L40,L43,L46)+'表32(續11)'!L7</f>
        <v>289</v>
      </c>
      <c r="M19" s="56">
        <f>SUM(M22,M25,M28,M31,M34,M37,M40,M43,M46)+'表32(續11)'!M7</f>
        <v>250</v>
      </c>
      <c r="N19" s="56">
        <f>SUM(N22,N25,N28,N31,N34,N37,N40,N43,N46)+'表32(續11)'!N7</f>
        <v>172</v>
      </c>
      <c r="O19" s="56">
        <f>SUM(O22,O25,O28,O31,O34,O37,O40,O43,O46)+'表32(續11)'!O7</f>
        <v>62</v>
      </c>
      <c r="P19" s="56">
        <f>SUM(P22,P25,P28,P31,P34,P37,P40,P43,P46)+'表32(續11)'!P7</f>
        <v>15</v>
      </c>
      <c r="Q19" s="56">
        <f>SUM(Q22,Q25,Q28,Q31,Q34,Q37,Q40,Q43,Q46)+'表32(續11)'!Q7</f>
        <v>89</v>
      </c>
      <c r="R19" s="56">
        <f>SUM(R22,R25,R28,R31,R34,R37,R40,R43,R46)+'表32(續11)'!R7</f>
        <v>1292</v>
      </c>
      <c r="S19" s="56">
        <f>SUM(S22,S25,S28,S31,S34,S37,S40,S43,S46)+'表32(續11)'!S7</f>
        <v>188</v>
      </c>
      <c r="T19" s="55">
        <f>SUM(T22,T25,T28,T31,T34,T37,T40,T43,T46)+'表32(續11)'!T7</f>
        <v>24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s="93" customFormat="1" ht="13.5" customHeight="1">
      <c r="A20" s="542"/>
      <c r="B20" s="492"/>
      <c r="C20" s="124" t="s">
        <v>688</v>
      </c>
      <c r="D20" s="24">
        <f>SUM(D23,D26,D29,D32,D35,D38,D41,D44,D47)+'表32(續11)'!D8</f>
        <v>1113</v>
      </c>
      <c r="E20" s="10">
        <f>SUM(E23,E26,E29,E32,E35,E38,E41,E44,E47)+'表32(續11)'!E8</f>
        <v>1112</v>
      </c>
      <c r="F20" s="10">
        <f>SUM(F23,F26,F29,F32,F35,F38,F41,F44,F47)+'表32(續11)'!F8</f>
        <v>1</v>
      </c>
      <c r="G20" s="10">
        <f>(SUM(G23,G26,G29,G32,G35,G38,G41,G44,G47)+'表32(續11)'!G8)/10</f>
        <v>34</v>
      </c>
      <c r="H20" s="10">
        <f>SUM(H23,H26,H29,H32,H35,H38,H41,H44,H47)+'表32(續11)'!H8</f>
        <v>0</v>
      </c>
      <c r="I20" s="10">
        <f>SUM(I23,I26,I29,I32,I35,I38,I41,I44,I47)+'表32(續11)'!I8</f>
        <v>72</v>
      </c>
      <c r="J20" s="10">
        <f>SUM(J23,J26,J29,J32,J35,J38,J41,J44,J47)+'表32(續11)'!J8</f>
        <v>310</v>
      </c>
      <c r="K20" s="10">
        <f>SUM(K23,K26,K29,K32,K35,K38,K41,K44,K47)+'表32(續11)'!K8</f>
        <v>239</v>
      </c>
      <c r="L20" s="10">
        <f>SUM(L23,L26,L29,L32,L35,L38,L41,L44,L47)+'表32(續11)'!L8</f>
        <v>178</v>
      </c>
      <c r="M20" s="10">
        <f>SUM(M23,M26,M29,M32,M35,M38,M41,M44,M47)+'表32(續11)'!M8</f>
        <v>152</v>
      </c>
      <c r="N20" s="10">
        <f>SUM(N23,N26,N29,N32,N35,N38,N41,N44,N47)+'表32(續11)'!N8</f>
        <v>100</v>
      </c>
      <c r="O20" s="10">
        <f>SUM(O23,O26,O29,O32,O35,O38,O41,O44,O47)+'表32(續11)'!O8</f>
        <v>43</v>
      </c>
      <c r="P20" s="10">
        <f>SUM(P23,P26,P29,P32,P35,P38,P41,P44,P47)+'表32(續11)'!P8</f>
        <v>15</v>
      </c>
      <c r="Q20" s="10">
        <f>SUM(Q23,Q26,Q29,Q32,Q35,Q38,Q41,Q44,Q47)+'表32(續11)'!Q8</f>
        <v>70</v>
      </c>
      <c r="R20" s="10">
        <f>SUM(R23,R26,R29,R32,R35,R38,R41,R44,R47)+'表32(續11)'!R8</f>
        <v>759</v>
      </c>
      <c r="S20" s="10">
        <f>SUM(S23,S26,S29,S32,S35,S38,S41,S44,S47)+'表32(續11)'!S8</f>
        <v>107</v>
      </c>
      <c r="T20" s="10">
        <f>SUM(T23,T26,T29,T32,T35,T38,T41,T44,T47)+'表32(續11)'!T8</f>
        <v>14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s="93" customFormat="1" ht="13.5" customHeight="1">
      <c r="A21" s="542"/>
      <c r="B21" s="492"/>
      <c r="C21" s="235" t="s">
        <v>689</v>
      </c>
      <c r="D21" s="24">
        <f>SUM(D24,D27,D30,D33,D36,D39,D42,D45,D48)+'表32(續11)'!D9</f>
        <v>764</v>
      </c>
      <c r="E21" s="10">
        <f>SUM(E24,E27,E30,E33,E36,E39,E42,E45,E48)+'表32(續11)'!E9</f>
        <v>761</v>
      </c>
      <c r="F21" s="10">
        <f>SUM(F24,F27,F30,F33,F36,F39,F42,F45,F48)+'表32(續11)'!F9</f>
        <v>3</v>
      </c>
      <c r="G21" s="10">
        <f>(SUM(G24,G27,G30,G33,G36,G39,G42,G45,G48)+'表32(續11)'!G9)/10</f>
        <v>33</v>
      </c>
      <c r="H21" s="10">
        <f>SUM(H24,H27,H30,H33,H36,H39,H42,H45,H48)+'表32(續11)'!H9</f>
        <v>0</v>
      </c>
      <c r="I21" s="10">
        <f>SUM(I24,I27,I30,I33,I36,I39,I42,I45,I48)+'表32(續11)'!I9</f>
        <v>59</v>
      </c>
      <c r="J21" s="10">
        <f>SUM(J24,J27,J30,J33,J36,J39,J42,J45,J48)+'表32(續11)'!J9</f>
        <v>222</v>
      </c>
      <c r="K21" s="10">
        <f>SUM(K24,K27,K30,K33,K36,K39,K42,K45,K48)+'表32(續11)'!K9</f>
        <v>182</v>
      </c>
      <c r="L21" s="10">
        <f>SUM(L24,L27,L30,L33,L36,L39,L42,L45,L48)+'表32(續11)'!L9</f>
        <v>111</v>
      </c>
      <c r="M21" s="10">
        <f>SUM(M24,M27,M30,M33,M36,M39,M42,M45,M48)+'表32(續11)'!M9</f>
        <v>98</v>
      </c>
      <c r="N21" s="10">
        <f>SUM(N24,N27,N30,N33,N36,N39,N42,N45,N48)+'表32(續11)'!N9</f>
        <v>72</v>
      </c>
      <c r="O21" s="10">
        <f>SUM(O24,O27,O30,O33,O36,O39,O42,O45,O48)+'表32(續11)'!O9</f>
        <v>19</v>
      </c>
      <c r="P21" s="10">
        <f>SUM(P24,P27,P30,P33,P36,P39,P42,P45,P48)+'表32(續11)'!P9</f>
        <v>0</v>
      </c>
      <c r="Q21" s="10">
        <f>SUM(Q24,Q27,Q30,Q33,Q36,Q39,Q42,Q45,Q48)+'表32(續11)'!Q9</f>
        <v>19</v>
      </c>
      <c r="R21" s="10">
        <f>SUM(R24,R27,R30,R33,R36,R39,R42,R45,R48)+'表32(續11)'!R9</f>
        <v>533</v>
      </c>
      <c r="S21" s="10">
        <f>SUM(S24,S27,S30,S33,S36,S39,S42,S45,S48)+'表32(續11)'!S9</f>
        <v>81</v>
      </c>
      <c r="T21" s="10">
        <f>SUM(T24,T27,T30,T33,T36,T39,T42,T45,T48)+'表32(續11)'!T9</f>
        <v>10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s="93" customFormat="1" ht="13.5" customHeight="1">
      <c r="A22" s="542"/>
      <c r="B22" s="491" t="s">
        <v>519</v>
      </c>
      <c r="C22" s="234" t="s">
        <v>702</v>
      </c>
      <c r="D22" s="54">
        <f>SUM(D23:D24)</f>
        <v>92</v>
      </c>
      <c r="E22" s="55">
        <f aca="true" t="shared" si="4" ref="E22:T22">SUM(E23:E24)</f>
        <v>91</v>
      </c>
      <c r="F22" s="55">
        <f t="shared" si="4"/>
        <v>1</v>
      </c>
      <c r="G22" s="55">
        <f>SUM(G23:G24)/2</f>
        <v>33.5</v>
      </c>
      <c r="H22" s="55">
        <f t="shared" si="4"/>
        <v>0</v>
      </c>
      <c r="I22" s="55">
        <f t="shared" si="4"/>
        <v>1</v>
      </c>
      <c r="J22" s="55">
        <f t="shared" si="4"/>
        <v>22</v>
      </c>
      <c r="K22" s="55">
        <f t="shared" si="4"/>
        <v>24</v>
      </c>
      <c r="L22" s="55">
        <f t="shared" si="4"/>
        <v>30</v>
      </c>
      <c r="M22" s="55">
        <f t="shared" si="4"/>
        <v>10</v>
      </c>
      <c r="N22" s="55">
        <f t="shared" si="4"/>
        <v>4</v>
      </c>
      <c r="O22" s="55">
        <f t="shared" si="4"/>
        <v>1</v>
      </c>
      <c r="P22" s="55">
        <f t="shared" si="4"/>
        <v>0</v>
      </c>
      <c r="Q22" s="55">
        <f t="shared" si="4"/>
        <v>0</v>
      </c>
      <c r="R22" s="55">
        <f t="shared" si="4"/>
        <v>0</v>
      </c>
      <c r="S22" s="55">
        <f t="shared" si="4"/>
        <v>0</v>
      </c>
      <c r="T22" s="55">
        <f t="shared" si="4"/>
        <v>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s="93" customFormat="1" ht="13.5" customHeight="1">
      <c r="A23" s="542"/>
      <c r="B23" s="492"/>
      <c r="C23" s="124" t="s">
        <v>703</v>
      </c>
      <c r="D23" s="24">
        <v>50</v>
      </c>
      <c r="E23" s="10">
        <v>50</v>
      </c>
      <c r="F23" s="10">
        <v>0</v>
      </c>
      <c r="G23" s="10">
        <v>34</v>
      </c>
      <c r="H23" s="10">
        <v>0</v>
      </c>
      <c r="I23" s="10">
        <v>0</v>
      </c>
      <c r="J23" s="10">
        <v>12</v>
      </c>
      <c r="K23" s="10">
        <v>13</v>
      </c>
      <c r="L23" s="10">
        <v>17</v>
      </c>
      <c r="M23" s="10">
        <v>5</v>
      </c>
      <c r="N23" s="10">
        <v>2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s="93" customFormat="1" ht="13.5" customHeight="1">
      <c r="A24" s="542"/>
      <c r="B24" s="493"/>
      <c r="C24" s="235" t="s">
        <v>704</v>
      </c>
      <c r="D24" s="24">
        <v>42</v>
      </c>
      <c r="E24" s="10">
        <v>41</v>
      </c>
      <c r="F24" s="10">
        <v>1</v>
      </c>
      <c r="G24" s="10">
        <v>33</v>
      </c>
      <c r="H24" s="10">
        <v>0</v>
      </c>
      <c r="I24" s="10">
        <v>1</v>
      </c>
      <c r="J24" s="10">
        <v>10</v>
      </c>
      <c r="K24" s="10">
        <v>11</v>
      </c>
      <c r="L24" s="10">
        <v>13</v>
      </c>
      <c r="M24" s="10">
        <v>5</v>
      </c>
      <c r="N24" s="10">
        <v>2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20" s="93" customFormat="1" ht="13.5" customHeight="1">
      <c r="A25" s="542"/>
      <c r="B25" s="491" t="s">
        <v>520</v>
      </c>
      <c r="C25" s="234" t="s">
        <v>702</v>
      </c>
      <c r="D25" s="54">
        <f>SUM(D26:D27)</f>
        <v>192</v>
      </c>
      <c r="E25" s="55">
        <f aca="true" t="shared" si="5" ref="E25:T25">SUM(E26:E27)</f>
        <v>191</v>
      </c>
      <c r="F25" s="55">
        <f t="shared" si="5"/>
        <v>1</v>
      </c>
      <c r="G25" s="55">
        <f>SUM(G26:G27)/2</f>
        <v>33.5</v>
      </c>
      <c r="H25" s="55">
        <f t="shared" si="5"/>
        <v>0</v>
      </c>
      <c r="I25" s="55">
        <f t="shared" si="5"/>
        <v>13</v>
      </c>
      <c r="J25" s="55">
        <f t="shared" si="5"/>
        <v>43</v>
      </c>
      <c r="K25" s="55">
        <f t="shared" si="5"/>
        <v>57</v>
      </c>
      <c r="L25" s="55">
        <f t="shared" si="5"/>
        <v>36</v>
      </c>
      <c r="M25" s="55">
        <f t="shared" si="5"/>
        <v>26</v>
      </c>
      <c r="N25" s="55">
        <f t="shared" si="5"/>
        <v>14</v>
      </c>
      <c r="O25" s="55">
        <f t="shared" si="5"/>
        <v>2</v>
      </c>
      <c r="P25" s="55">
        <f t="shared" si="5"/>
        <v>1</v>
      </c>
      <c r="Q25" s="55">
        <f t="shared" si="5"/>
        <v>0</v>
      </c>
      <c r="R25" s="55">
        <f t="shared" si="5"/>
        <v>0</v>
      </c>
      <c r="S25" s="55">
        <f t="shared" si="5"/>
        <v>0</v>
      </c>
      <c r="T25" s="55">
        <f t="shared" si="5"/>
        <v>0</v>
      </c>
    </row>
    <row r="26" spans="1:20" s="93" customFormat="1" ht="13.5" customHeight="1">
      <c r="A26" s="542"/>
      <c r="B26" s="492"/>
      <c r="C26" s="124" t="s">
        <v>703</v>
      </c>
      <c r="D26" s="64">
        <v>113</v>
      </c>
      <c r="E26" s="49">
        <v>113</v>
      </c>
      <c r="F26" s="58">
        <v>0</v>
      </c>
      <c r="G26" s="49">
        <v>34</v>
      </c>
      <c r="H26" s="49">
        <v>0</v>
      </c>
      <c r="I26" s="49">
        <v>3</v>
      </c>
      <c r="J26" s="59">
        <v>26</v>
      </c>
      <c r="K26" s="58">
        <v>36</v>
      </c>
      <c r="L26" s="58">
        <v>22</v>
      </c>
      <c r="M26" s="58">
        <v>14</v>
      </c>
      <c r="N26" s="58">
        <v>9</v>
      </c>
      <c r="O26" s="58">
        <v>2</v>
      </c>
      <c r="P26" s="58">
        <v>1</v>
      </c>
      <c r="Q26" s="58">
        <v>0</v>
      </c>
      <c r="R26" s="58">
        <v>0</v>
      </c>
      <c r="S26" s="58">
        <v>0</v>
      </c>
      <c r="T26" s="58">
        <v>0</v>
      </c>
    </row>
    <row r="27" spans="1:20" s="93" customFormat="1" ht="13.5" customHeight="1">
      <c r="A27" s="542"/>
      <c r="B27" s="493"/>
      <c r="C27" s="235" t="s">
        <v>704</v>
      </c>
      <c r="D27" s="64">
        <v>79</v>
      </c>
      <c r="E27" s="49">
        <v>78</v>
      </c>
      <c r="F27" s="58">
        <v>1</v>
      </c>
      <c r="G27" s="49">
        <v>33</v>
      </c>
      <c r="H27" s="49">
        <v>0</v>
      </c>
      <c r="I27" s="49">
        <v>10</v>
      </c>
      <c r="J27" s="59">
        <v>17</v>
      </c>
      <c r="K27" s="58">
        <v>21</v>
      </c>
      <c r="L27" s="58">
        <v>14</v>
      </c>
      <c r="M27" s="58">
        <v>12</v>
      </c>
      <c r="N27" s="58">
        <v>5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</row>
    <row r="28" spans="1:20" s="93" customFormat="1" ht="13.5" customHeight="1">
      <c r="A28" s="542"/>
      <c r="B28" s="491" t="s">
        <v>521</v>
      </c>
      <c r="C28" s="234" t="s">
        <v>702</v>
      </c>
      <c r="D28" s="54">
        <f>SUM(D29:D30)</f>
        <v>12</v>
      </c>
      <c r="E28" s="55">
        <f aca="true" t="shared" si="6" ref="E28:T28">SUM(E29:E30)</f>
        <v>11</v>
      </c>
      <c r="F28" s="55">
        <f t="shared" si="6"/>
        <v>1</v>
      </c>
      <c r="G28" s="55">
        <f>SUM(G29:G30)/2</f>
        <v>33.5</v>
      </c>
      <c r="H28" s="55">
        <f t="shared" si="6"/>
        <v>0</v>
      </c>
      <c r="I28" s="55">
        <f t="shared" si="6"/>
        <v>2</v>
      </c>
      <c r="J28" s="55">
        <f t="shared" si="6"/>
        <v>1</v>
      </c>
      <c r="K28" s="55">
        <f t="shared" si="6"/>
        <v>2</v>
      </c>
      <c r="L28" s="55">
        <f t="shared" si="6"/>
        <v>4</v>
      </c>
      <c r="M28" s="55">
        <f t="shared" si="6"/>
        <v>3</v>
      </c>
      <c r="N28" s="55">
        <f t="shared" si="6"/>
        <v>0</v>
      </c>
      <c r="O28" s="55">
        <f t="shared" si="6"/>
        <v>0</v>
      </c>
      <c r="P28" s="55">
        <f t="shared" si="6"/>
        <v>0</v>
      </c>
      <c r="Q28" s="55">
        <f t="shared" si="6"/>
        <v>0</v>
      </c>
      <c r="R28" s="55">
        <f t="shared" si="6"/>
        <v>9</v>
      </c>
      <c r="S28" s="55">
        <f t="shared" si="6"/>
        <v>3</v>
      </c>
      <c r="T28" s="55">
        <f t="shared" si="6"/>
        <v>0</v>
      </c>
    </row>
    <row r="29" spans="1:20" s="93" customFormat="1" ht="13.5" customHeight="1">
      <c r="A29" s="542"/>
      <c r="B29" s="492"/>
      <c r="C29" s="124" t="s">
        <v>703</v>
      </c>
      <c r="D29" s="64">
        <v>6</v>
      </c>
      <c r="E29" s="49">
        <v>5</v>
      </c>
      <c r="F29" s="58">
        <v>1</v>
      </c>
      <c r="G29" s="49">
        <v>35</v>
      </c>
      <c r="H29" s="49">
        <v>0</v>
      </c>
      <c r="I29" s="49">
        <v>0</v>
      </c>
      <c r="J29" s="59">
        <v>1</v>
      </c>
      <c r="K29" s="58">
        <v>1</v>
      </c>
      <c r="L29" s="58">
        <v>2</v>
      </c>
      <c r="M29" s="58">
        <v>2</v>
      </c>
      <c r="N29" s="58">
        <v>0</v>
      </c>
      <c r="O29" s="58">
        <v>0</v>
      </c>
      <c r="P29" s="58">
        <v>0</v>
      </c>
      <c r="Q29" s="58">
        <v>0</v>
      </c>
      <c r="R29" s="58">
        <v>5</v>
      </c>
      <c r="S29" s="58">
        <v>1</v>
      </c>
      <c r="T29" s="62">
        <v>0</v>
      </c>
    </row>
    <row r="30" spans="1:20" s="93" customFormat="1" ht="13.5" customHeight="1">
      <c r="A30" s="542"/>
      <c r="B30" s="493"/>
      <c r="C30" s="235" t="s">
        <v>704</v>
      </c>
      <c r="D30" s="64">
        <v>6</v>
      </c>
      <c r="E30" s="49">
        <v>6</v>
      </c>
      <c r="F30" s="58">
        <v>0</v>
      </c>
      <c r="G30" s="49">
        <v>32</v>
      </c>
      <c r="H30" s="49">
        <v>0</v>
      </c>
      <c r="I30" s="49">
        <v>2</v>
      </c>
      <c r="J30" s="59">
        <v>0</v>
      </c>
      <c r="K30" s="58">
        <v>1</v>
      </c>
      <c r="L30" s="58">
        <v>2</v>
      </c>
      <c r="M30" s="58">
        <v>1</v>
      </c>
      <c r="N30" s="58">
        <v>0</v>
      </c>
      <c r="O30" s="58">
        <v>0</v>
      </c>
      <c r="P30" s="58">
        <v>0</v>
      </c>
      <c r="Q30" s="58">
        <v>0</v>
      </c>
      <c r="R30" s="58">
        <v>4</v>
      </c>
      <c r="S30" s="58">
        <v>2</v>
      </c>
      <c r="T30" s="62">
        <v>0</v>
      </c>
    </row>
    <row r="31" spans="1:20" s="93" customFormat="1" ht="13.5" customHeight="1">
      <c r="A31" s="542"/>
      <c r="B31" s="491" t="s">
        <v>522</v>
      </c>
      <c r="C31" s="234" t="s">
        <v>702</v>
      </c>
      <c r="D31" s="54">
        <f>SUM(D32:D33)</f>
        <v>94</v>
      </c>
      <c r="E31" s="55">
        <f aca="true" t="shared" si="7" ref="E31:T31">SUM(E32:E33)</f>
        <v>94</v>
      </c>
      <c r="F31" s="55">
        <f t="shared" si="7"/>
        <v>0</v>
      </c>
      <c r="G31" s="55">
        <f>SUM(G32:G33)/2</f>
        <v>33.5</v>
      </c>
      <c r="H31" s="55">
        <f t="shared" si="7"/>
        <v>0</v>
      </c>
      <c r="I31" s="55">
        <f t="shared" si="7"/>
        <v>6</v>
      </c>
      <c r="J31" s="55">
        <f t="shared" si="7"/>
        <v>27</v>
      </c>
      <c r="K31" s="55">
        <f t="shared" si="7"/>
        <v>16</v>
      </c>
      <c r="L31" s="55">
        <f t="shared" si="7"/>
        <v>21</v>
      </c>
      <c r="M31" s="55">
        <f t="shared" si="7"/>
        <v>12</v>
      </c>
      <c r="N31" s="55">
        <f t="shared" si="7"/>
        <v>10</v>
      </c>
      <c r="O31" s="55">
        <f t="shared" si="7"/>
        <v>2</v>
      </c>
      <c r="P31" s="55">
        <f t="shared" si="7"/>
        <v>0</v>
      </c>
      <c r="Q31" s="55">
        <f t="shared" si="7"/>
        <v>3</v>
      </c>
      <c r="R31" s="55">
        <f t="shared" si="7"/>
        <v>85</v>
      </c>
      <c r="S31" s="55">
        <f t="shared" si="7"/>
        <v>6</v>
      </c>
      <c r="T31" s="55">
        <f t="shared" si="7"/>
        <v>0</v>
      </c>
    </row>
    <row r="32" spans="1:20" s="93" customFormat="1" ht="13.5" customHeight="1">
      <c r="A32" s="542"/>
      <c r="B32" s="492"/>
      <c r="C32" s="124" t="s">
        <v>703</v>
      </c>
      <c r="D32" s="64">
        <v>59</v>
      </c>
      <c r="E32" s="49">
        <v>59</v>
      </c>
      <c r="F32" s="49">
        <v>0</v>
      </c>
      <c r="G32" s="49">
        <v>35</v>
      </c>
      <c r="H32" s="49">
        <v>0</v>
      </c>
      <c r="I32" s="49">
        <v>3</v>
      </c>
      <c r="J32" s="49">
        <v>15</v>
      </c>
      <c r="K32" s="49">
        <v>11</v>
      </c>
      <c r="L32" s="49">
        <v>11</v>
      </c>
      <c r="M32" s="49">
        <v>8</v>
      </c>
      <c r="N32" s="49">
        <v>9</v>
      </c>
      <c r="O32" s="49">
        <v>2</v>
      </c>
      <c r="P32" s="49">
        <v>0</v>
      </c>
      <c r="Q32" s="49">
        <v>3</v>
      </c>
      <c r="R32" s="49">
        <v>53</v>
      </c>
      <c r="S32" s="49">
        <v>3</v>
      </c>
      <c r="T32" s="49">
        <v>0</v>
      </c>
    </row>
    <row r="33" spans="1:20" s="93" customFormat="1" ht="13.5" customHeight="1">
      <c r="A33" s="542"/>
      <c r="B33" s="492"/>
      <c r="C33" s="235" t="s">
        <v>704</v>
      </c>
      <c r="D33" s="64">
        <v>35</v>
      </c>
      <c r="E33" s="49">
        <v>35</v>
      </c>
      <c r="F33" s="49">
        <v>0</v>
      </c>
      <c r="G33" s="49">
        <v>32</v>
      </c>
      <c r="H33" s="49">
        <v>0</v>
      </c>
      <c r="I33" s="49">
        <v>3</v>
      </c>
      <c r="J33" s="49">
        <v>12</v>
      </c>
      <c r="K33" s="49">
        <v>5</v>
      </c>
      <c r="L33" s="49">
        <v>10</v>
      </c>
      <c r="M33" s="49">
        <v>4</v>
      </c>
      <c r="N33" s="49">
        <v>1</v>
      </c>
      <c r="O33" s="49">
        <v>0</v>
      </c>
      <c r="P33" s="49">
        <v>0</v>
      </c>
      <c r="Q33" s="49">
        <v>0</v>
      </c>
      <c r="R33" s="49">
        <v>32</v>
      </c>
      <c r="S33" s="49">
        <v>3</v>
      </c>
      <c r="T33" s="49">
        <v>0</v>
      </c>
    </row>
    <row r="34" spans="1:20" s="93" customFormat="1" ht="13.5" customHeight="1">
      <c r="A34" s="542"/>
      <c r="B34" s="491" t="s">
        <v>532</v>
      </c>
      <c r="C34" s="234" t="s">
        <v>702</v>
      </c>
      <c r="D34" s="54">
        <f>SUM(D35:D36)</f>
        <v>84</v>
      </c>
      <c r="E34" s="55">
        <f aca="true" t="shared" si="8" ref="E34:T34">SUM(E35:E36)</f>
        <v>84</v>
      </c>
      <c r="F34" s="55">
        <f t="shared" si="8"/>
        <v>0</v>
      </c>
      <c r="G34" s="55">
        <f>SUM(G35:G36)/2</f>
        <v>33</v>
      </c>
      <c r="H34" s="55">
        <f t="shared" si="8"/>
        <v>0</v>
      </c>
      <c r="I34" s="55">
        <f t="shared" si="8"/>
        <v>5</v>
      </c>
      <c r="J34" s="55">
        <f t="shared" si="8"/>
        <v>26</v>
      </c>
      <c r="K34" s="55">
        <f t="shared" si="8"/>
        <v>20</v>
      </c>
      <c r="L34" s="55">
        <f t="shared" si="8"/>
        <v>14</v>
      </c>
      <c r="M34" s="55">
        <f t="shared" si="8"/>
        <v>11</v>
      </c>
      <c r="N34" s="55">
        <f t="shared" si="8"/>
        <v>6</v>
      </c>
      <c r="O34" s="55">
        <f t="shared" si="8"/>
        <v>1</v>
      </c>
      <c r="P34" s="55">
        <f t="shared" si="8"/>
        <v>1</v>
      </c>
      <c r="Q34" s="55">
        <f t="shared" si="8"/>
        <v>3</v>
      </c>
      <c r="R34" s="55">
        <f t="shared" si="8"/>
        <v>73</v>
      </c>
      <c r="S34" s="55">
        <f t="shared" si="8"/>
        <v>8</v>
      </c>
      <c r="T34" s="55">
        <f t="shared" si="8"/>
        <v>0</v>
      </c>
    </row>
    <row r="35" spans="1:20" s="93" customFormat="1" ht="13.5" customHeight="1">
      <c r="A35" s="538" t="s">
        <v>566</v>
      </c>
      <c r="B35" s="492"/>
      <c r="C35" s="124" t="s">
        <v>703</v>
      </c>
      <c r="D35" s="64">
        <v>50</v>
      </c>
      <c r="E35" s="49">
        <v>50</v>
      </c>
      <c r="F35" s="58">
        <v>0</v>
      </c>
      <c r="G35" s="49">
        <v>33</v>
      </c>
      <c r="H35" s="49">
        <v>0</v>
      </c>
      <c r="I35" s="49">
        <v>2</v>
      </c>
      <c r="J35" s="59">
        <v>15</v>
      </c>
      <c r="K35" s="58">
        <v>11</v>
      </c>
      <c r="L35" s="58">
        <v>12</v>
      </c>
      <c r="M35" s="58">
        <v>6</v>
      </c>
      <c r="N35" s="58">
        <v>3</v>
      </c>
      <c r="O35" s="58">
        <v>0</v>
      </c>
      <c r="P35" s="58">
        <v>1</v>
      </c>
      <c r="Q35" s="58">
        <v>2</v>
      </c>
      <c r="R35" s="58">
        <v>43</v>
      </c>
      <c r="S35" s="58">
        <v>5</v>
      </c>
      <c r="T35" s="58">
        <v>0</v>
      </c>
    </row>
    <row r="36" spans="1:20" s="93" customFormat="1" ht="13.5" customHeight="1">
      <c r="A36" s="538"/>
      <c r="B36" s="492"/>
      <c r="C36" s="235" t="s">
        <v>704</v>
      </c>
      <c r="D36" s="64">
        <v>34</v>
      </c>
      <c r="E36" s="49">
        <v>34</v>
      </c>
      <c r="F36" s="58">
        <v>0</v>
      </c>
      <c r="G36" s="49">
        <v>33</v>
      </c>
      <c r="H36" s="49">
        <v>0</v>
      </c>
      <c r="I36" s="49">
        <v>3</v>
      </c>
      <c r="J36" s="59">
        <v>11</v>
      </c>
      <c r="K36" s="58">
        <v>9</v>
      </c>
      <c r="L36" s="58">
        <v>2</v>
      </c>
      <c r="M36" s="58">
        <v>5</v>
      </c>
      <c r="N36" s="58">
        <v>3</v>
      </c>
      <c r="O36" s="58">
        <v>1</v>
      </c>
      <c r="P36" s="58">
        <v>0</v>
      </c>
      <c r="Q36" s="58">
        <v>1</v>
      </c>
      <c r="R36" s="58">
        <v>30</v>
      </c>
      <c r="S36" s="58">
        <v>3</v>
      </c>
      <c r="T36" s="58">
        <v>0</v>
      </c>
    </row>
    <row r="37" spans="1:20" s="93" customFormat="1" ht="13.5" customHeight="1">
      <c r="A37" s="538"/>
      <c r="B37" s="491" t="s">
        <v>533</v>
      </c>
      <c r="C37" s="234" t="s">
        <v>702</v>
      </c>
      <c r="D37" s="54">
        <f>SUM(D38:D39)</f>
        <v>107</v>
      </c>
      <c r="E37" s="55">
        <f aca="true" t="shared" si="9" ref="E37:T37">SUM(E38:E39)</f>
        <v>107</v>
      </c>
      <c r="F37" s="55">
        <f t="shared" si="9"/>
        <v>0</v>
      </c>
      <c r="G37" s="55">
        <f>SUM(G38:G39)/2</f>
        <v>33</v>
      </c>
      <c r="H37" s="55">
        <f t="shared" si="9"/>
        <v>0</v>
      </c>
      <c r="I37" s="55">
        <f t="shared" si="9"/>
        <v>8</v>
      </c>
      <c r="J37" s="55">
        <f t="shared" si="9"/>
        <v>34</v>
      </c>
      <c r="K37" s="55">
        <f t="shared" si="9"/>
        <v>21</v>
      </c>
      <c r="L37" s="55">
        <f t="shared" si="9"/>
        <v>19</v>
      </c>
      <c r="M37" s="55">
        <f t="shared" si="9"/>
        <v>12</v>
      </c>
      <c r="N37" s="55">
        <f t="shared" si="9"/>
        <v>9</v>
      </c>
      <c r="O37" s="55">
        <f t="shared" si="9"/>
        <v>4</v>
      </c>
      <c r="P37" s="55">
        <f t="shared" si="9"/>
        <v>0</v>
      </c>
      <c r="Q37" s="55">
        <f t="shared" si="9"/>
        <v>1</v>
      </c>
      <c r="R37" s="55">
        <f t="shared" si="9"/>
        <v>96</v>
      </c>
      <c r="S37" s="55">
        <f t="shared" si="9"/>
        <v>10</v>
      </c>
      <c r="T37" s="55">
        <f t="shared" si="9"/>
        <v>0</v>
      </c>
    </row>
    <row r="38" spans="1:20" s="93" customFormat="1" ht="13.5" customHeight="1">
      <c r="A38" s="538"/>
      <c r="B38" s="492"/>
      <c r="C38" s="124" t="s">
        <v>703</v>
      </c>
      <c r="D38" s="64">
        <v>64</v>
      </c>
      <c r="E38" s="49">
        <v>64</v>
      </c>
      <c r="F38" s="58">
        <v>0</v>
      </c>
      <c r="G38" s="49">
        <v>32</v>
      </c>
      <c r="H38" s="49">
        <v>0</v>
      </c>
      <c r="I38" s="49">
        <v>6</v>
      </c>
      <c r="J38" s="59">
        <v>22</v>
      </c>
      <c r="K38" s="58">
        <v>13</v>
      </c>
      <c r="L38" s="58">
        <v>11</v>
      </c>
      <c r="M38" s="58">
        <v>5</v>
      </c>
      <c r="N38" s="58">
        <v>5</v>
      </c>
      <c r="O38" s="58">
        <v>2</v>
      </c>
      <c r="P38" s="58">
        <v>0</v>
      </c>
      <c r="Q38" s="58">
        <v>0</v>
      </c>
      <c r="R38" s="58">
        <v>59</v>
      </c>
      <c r="S38" s="58">
        <v>5</v>
      </c>
      <c r="T38" s="58">
        <v>0</v>
      </c>
    </row>
    <row r="39" spans="1:20" s="93" customFormat="1" ht="13.5" customHeight="1">
      <c r="A39" s="538"/>
      <c r="B39" s="493"/>
      <c r="C39" s="235" t="s">
        <v>704</v>
      </c>
      <c r="D39" s="64">
        <v>43</v>
      </c>
      <c r="E39" s="49">
        <v>43</v>
      </c>
      <c r="F39" s="58">
        <v>0</v>
      </c>
      <c r="G39" s="49">
        <v>34</v>
      </c>
      <c r="H39" s="49">
        <v>0</v>
      </c>
      <c r="I39" s="49">
        <v>2</v>
      </c>
      <c r="J39" s="59">
        <v>12</v>
      </c>
      <c r="K39" s="58">
        <v>8</v>
      </c>
      <c r="L39" s="58">
        <v>8</v>
      </c>
      <c r="M39" s="58">
        <v>7</v>
      </c>
      <c r="N39" s="58">
        <v>4</v>
      </c>
      <c r="O39" s="58">
        <v>2</v>
      </c>
      <c r="P39" s="58">
        <v>0</v>
      </c>
      <c r="Q39" s="58">
        <v>1</v>
      </c>
      <c r="R39" s="58">
        <v>37</v>
      </c>
      <c r="S39" s="58">
        <v>5</v>
      </c>
      <c r="T39" s="58">
        <v>0</v>
      </c>
    </row>
    <row r="40" spans="1:20" s="93" customFormat="1" ht="13.5" customHeight="1">
      <c r="A40" s="538"/>
      <c r="B40" s="514" t="s">
        <v>534</v>
      </c>
      <c r="C40" s="234" t="s">
        <v>702</v>
      </c>
      <c r="D40" s="54">
        <f>SUM(D41:D42)</f>
        <v>135</v>
      </c>
      <c r="E40" s="55">
        <f aca="true" t="shared" si="10" ref="E40:T40">SUM(E41:E42)</f>
        <v>135</v>
      </c>
      <c r="F40" s="55">
        <f t="shared" si="10"/>
        <v>0</v>
      </c>
      <c r="G40" s="55">
        <f>SUM(G41:G42)/2</f>
        <v>33.5</v>
      </c>
      <c r="H40" s="55">
        <f t="shared" si="10"/>
        <v>0</v>
      </c>
      <c r="I40" s="55">
        <f t="shared" si="10"/>
        <v>5</v>
      </c>
      <c r="J40" s="55">
        <f t="shared" si="10"/>
        <v>44</v>
      </c>
      <c r="K40" s="55">
        <f t="shared" si="10"/>
        <v>28</v>
      </c>
      <c r="L40" s="55">
        <f t="shared" si="10"/>
        <v>19</v>
      </c>
      <c r="M40" s="55">
        <f t="shared" si="10"/>
        <v>21</v>
      </c>
      <c r="N40" s="55">
        <f t="shared" si="10"/>
        <v>13</v>
      </c>
      <c r="O40" s="55">
        <f t="shared" si="10"/>
        <v>5</v>
      </c>
      <c r="P40" s="55">
        <f t="shared" si="10"/>
        <v>0</v>
      </c>
      <c r="Q40" s="55">
        <f t="shared" si="10"/>
        <v>3</v>
      </c>
      <c r="R40" s="55">
        <f t="shared" si="10"/>
        <v>109</v>
      </c>
      <c r="S40" s="55">
        <f t="shared" si="10"/>
        <v>23</v>
      </c>
      <c r="T40" s="55">
        <f t="shared" si="10"/>
        <v>0</v>
      </c>
    </row>
    <row r="41" spans="1:20" s="93" customFormat="1" ht="13.5" customHeight="1">
      <c r="A41" s="538"/>
      <c r="B41" s="514"/>
      <c r="C41" s="124" t="s">
        <v>703</v>
      </c>
      <c r="D41" s="64">
        <v>80</v>
      </c>
      <c r="E41" s="49">
        <v>80</v>
      </c>
      <c r="F41" s="58">
        <v>0</v>
      </c>
      <c r="G41" s="49">
        <v>34</v>
      </c>
      <c r="H41" s="49">
        <v>0</v>
      </c>
      <c r="I41" s="49">
        <v>4</v>
      </c>
      <c r="J41" s="59">
        <v>24</v>
      </c>
      <c r="K41" s="58">
        <v>12</v>
      </c>
      <c r="L41" s="58">
        <v>13</v>
      </c>
      <c r="M41" s="58">
        <v>18</v>
      </c>
      <c r="N41" s="58">
        <v>6</v>
      </c>
      <c r="O41" s="58">
        <v>3</v>
      </c>
      <c r="P41" s="58">
        <v>0</v>
      </c>
      <c r="Q41" s="58">
        <v>2</v>
      </c>
      <c r="R41" s="58">
        <v>67</v>
      </c>
      <c r="S41" s="58">
        <v>11</v>
      </c>
      <c r="T41" s="62">
        <v>0</v>
      </c>
    </row>
    <row r="42" spans="1:20" s="93" customFormat="1" ht="13.5" customHeight="1">
      <c r="A42" s="538"/>
      <c r="B42" s="514"/>
      <c r="C42" s="235" t="s">
        <v>704</v>
      </c>
      <c r="D42" s="64">
        <v>55</v>
      </c>
      <c r="E42" s="49">
        <v>55</v>
      </c>
      <c r="F42" s="58">
        <v>0</v>
      </c>
      <c r="G42" s="49">
        <v>33</v>
      </c>
      <c r="H42" s="49">
        <v>0</v>
      </c>
      <c r="I42" s="49">
        <v>1</v>
      </c>
      <c r="J42" s="59">
        <v>20</v>
      </c>
      <c r="K42" s="58">
        <v>16</v>
      </c>
      <c r="L42" s="58">
        <v>6</v>
      </c>
      <c r="M42" s="58">
        <v>3</v>
      </c>
      <c r="N42" s="58">
        <v>7</v>
      </c>
      <c r="O42" s="58">
        <v>2</v>
      </c>
      <c r="P42" s="58">
        <v>0</v>
      </c>
      <c r="Q42" s="58">
        <v>1</v>
      </c>
      <c r="R42" s="58">
        <v>42</v>
      </c>
      <c r="S42" s="58">
        <v>12</v>
      </c>
      <c r="T42" s="62">
        <v>0</v>
      </c>
    </row>
    <row r="43" spans="1:20" s="93" customFormat="1" ht="13.5" customHeight="1">
      <c r="A43" s="538"/>
      <c r="B43" s="491" t="s">
        <v>535</v>
      </c>
      <c r="C43" s="234" t="s">
        <v>702</v>
      </c>
      <c r="D43" s="54">
        <f>SUM(D44:D45)</f>
        <v>567</v>
      </c>
      <c r="E43" s="55">
        <f aca="true" t="shared" si="11" ref="E43:T43">SUM(E44:E45)</f>
        <v>566</v>
      </c>
      <c r="F43" s="55">
        <f t="shared" si="11"/>
        <v>1</v>
      </c>
      <c r="G43" s="55">
        <f>SUM(G44:G45)/2</f>
        <v>34.5</v>
      </c>
      <c r="H43" s="55">
        <f t="shared" si="11"/>
        <v>0</v>
      </c>
      <c r="I43" s="55">
        <f t="shared" si="11"/>
        <v>43</v>
      </c>
      <c r="J43" s="55">
        <f t="shared" si="11"/>
        <v>149</v>
      </c>
      <c r="K43" s="55">
        <f t="shared" si="11"/>
        <v>128</v>
      </c>
      <c r="L43" s="55">
        <f t="shared" si="11"/>
        <v>80</v>
      </c>
      <c r="M43" s="55">
        <f t="shared" si="11"/>
        <v>75</v>
      </c>
      <c r="N43" s="55">
        <f t="shared" si="11"/>
        <v>57</v>
      </c>
      <c r="O43" s="55">
        <f t="shared" si="11"/>
        <v>26</v>
      </c>
      <c r="P43" s="55">
        <f t="shared" si="11"/>
        <v>7</v>
      </c>
      <c r="Q43" s="55">
        <f t="shared" si="11"/>
        <v>21</v>
      </c>
      <c r="R43" s="55">
        <f t="shared" si="11"/>
        <v>458</v>
      </c>
      <c r="S43" s="55">
        <f t="shared" si="11"/>
        <v>70</v>
      </c>
      <c r="T43" s="55">
        <f t="shared" si="11"/>
        <v>18</v>
      </c>
    </row>
    <row r="44" spans="1:21" s="93" customFormat="1" ht="13.5" customHeight="1">
      <c r="A44" s="556"/>
      <c r="B44" s="492"/>
      <c r="C44" s="124" t="s">
        <v>703</v>
      </c>
      <c r="D44" s="64">
        <v>328</v>
      </c>
      <c r="E44" s="49">
        <v>328</v>
      </c>
      <c r="F44" s="58">
        <v>0</v>
      </c>
      <c r="G44" s="49">
        <v>35</v>
      </c>
      <c r="H44" s="49">
        <v>0</v>
      </c>
      <c r="I44" s="49">
        <v>25</v>
      </c>
      <c r="J44" s="59">
        <v>81</v>
      </c>
      <c r="K44" s="58">
        <v>75</v>
      </c>
      <c r="L44" s="58">
        <v>47</v>
      </c>
      <c r="M44" s="58">
        <v>41</v>
      </c>
      <c r="N44" s="58">
        <v>30</v>
      </c>
      <c r="O44" s="58">
        <v>21</v>
      </c>
      <c r="P44" s="58">
        <v>7</v>
      </c>
      <c r="Q44" s="58">
        <v>16</v>
      </c>
      <c r="R44" s="58">
        <v>265</v>
      </c>
      <c r="S44" s="58">
        <v>37</v>
      </c>
      <c r="T44" s="62">
        <v>10</v>
      </c>
      <c r="U44" s="94"/>
    </row>
    <row r="45" spans="1:21" s="93" customFormat="1" ht="13.5" customHeight="1">
      <c r="A45" s="538"/>
      <c r="B45" s="493"/>
      <c r="C45" s="235" t="s">
        <v>704</v>
      </c>
      <c r="D45" s="64">
        <v>239</v>
      </c>
      <c r="E45" s="49">
        <v>238</v>
      </c>
      <c r="F45" s="58">
        <v>1</v>
      </c>
      <c r="G45" s="49">
        <v>34</v>
      </c>
      <c r="H45" s="49">
        <v>0</v>
      </c>
      <c r="I45" s="49">
        <v>18</v>
      </c>
      <c r="J45" s="59">
        <v>68</v>
      </c>
      <c r="K45" s="58">
        <v>53</v>
      </c>
      <c r="L45" s="58">
        <v>33</v>
      </c>
      <c r="M45" s="58">
        <v>34</v>
      </c>
      <c r="N45" s="58">
        <v>27</v>
      </c>
      <c r="O45" s="58">
        <v>5</v>
      </c>
      <c r="P45" s="58">
        <v>0</v>
      </c>
      <c r="Q45" s="58">
        <v>5</v>
      </c>
      <c r="R45" s="58">
        <v>193</v>
      </c>
      <c r="S45" s="58">
        <v>33</v>
      </c>
      <c r="T45" s="62">
        <v>8</v>
      </c>
      <c r="U45" s="94"/>
    </row>
    <row r="46" spans="1:20" s="93" customFormat="1" ht="13.5" customHeight="1">
      <c r="A46" s="538"/>
      <c r="B46" s="491" t="s">
        <v>536</v>
      </c>
      <c r="C46" s="234" t="s">
        <v>702</v>
      </c>
      <c r="D46" s="54">
        <f>SUM(D47:D48)</f>
        <v>294</v>
      </c>
      <c r="E46" s="55">
        <f aca="true" t="shared" si="12" ref="E46:T46">SUM(E47:E48)</f>
        <v>294</v>
      </c>
      <c r="F46" s="55">
        <f t="shared" si="12"/>
        <v>0</v>
      </c>
      <c r="G46" s="55">
        <v>33</v>
      </c>
      <c r="H46" s="55">
        <f t="shared" si="12"/>
        <v>0</v>
      </c>
      <c r="I46" s="55">
        <f t="shared" si="12"/>
        <v>23</v>
      </c>
      <c r="J46" s="55">
        <f t="shared" si="12"/>
        <v>94</v>
      </c>
      <c r="K46" s="55">
        <f t="shared" si="12"/>
        <v>63</v>
      </c>
      <c r="L46" s="55">
        <f t="shared" si="12"/>
        <v>33</v>
      </c>
      <c r="M46" s="55">
        <f t="shared" si="12"/>
        <v>39</v>
      </c>
      <c r="N46" s="55">
        <f t="shared" si="12"/>
        <v>31</v>
      </c>
      <c r="O46" s="55">
        <f t="shared" si="12"/>
        <v>7</v>
      </c>
      <c r="P46" s="55">
        <f t="shared" si="12"/>
        <v>3</v>
      </c>
      <c r="Q46" s="55">
        <f t="shared" si="12"/>
        <v>19</v>
      </c>
      <c r="R46" s="55">
        <f t="shared" si="12"/>
        <v>237</v>
      </c>
      <c r="S46" s="55">
        <f t="shared" si="12"/>
        <v>36</v>
      </c>
      <c r="T46" s="55">
        <f t="shared" si="12"/>
        <v>2</v>
      </c>
    </row>
    <row r="47" spans="1:21" s="93" customFormat="1" ht="13.5" customHeight="1">
      <c r="A47" s="538"/>
      <c r="B47" s="492"/>
      <c r="C47" s="124" t="s">
        <v>703</v>
      </c>
      <c r="D47" s="64">
        <v>177</v>
      </c>
      <c r="E47" s="49">
        <v>177</v>
      </c>
      <c r="F47" s="49">
        <v>0</v>
      </c>
      <c r="G47" s="49">
        <v>34</v>
      </c>
      <c r="H47" s="49">
        <v>0</v>
      </c>
      <c r="I47" s="49">
        <v>14</v>
      </c>
      <c r="J47" s="49">
        <v>57</v>
      </c>
      <c r="K47" s="49">
        <v>35</v>
      </c>
      <c r="L47" s="49">
        <v>23</v>
      </c>
      <c r="M47" s="49">
        <v>22</v>
      </c>
      <c r="N47" s="49">
        <v>19</v>
      </c>
      <c r="O47" s="49">
        <v>3</v>
      </c>
      <c r="P47" s="49">
        <v>3</v>
      </c>
      <c r="Q47" s="49">
        <v>17</v>
      </c>
      <c r="R47" s="49">
        <v>134</v>
      </c>
      <c r="S47" s="49">
        <v>24</v>
      </c>
      <c r="T47" s="49">
        <v>2</v>
      </c>
      <c r="U47" s="94"/>
    </row>
    <row r="48" spans="1:21" s="93" customFormat="1" ht="13.5" customHeight="1">
      <c r="A48" s="538"/>
      <c r="B48" s="493"/>
      <c r="C48" s="124" t="s">
        <v>704</v>
      </c>
      <c r="D48" s="64">
        <v>117</v>
      </c>
      <c r="E48" s="49">
        <v>117</v>
      </c>
      <c r="F48" s="49">
        <v>0</v>
      </c>
      <c r="G48" s="49">
        <v>33</v>
      </c>
      <c r="H48" s="49">
        <v>0</v>
      </c>
      <c r="I48" s="49">
        <v>9</v>
      </c>
      <c r="J48" s="49">
        <v>37</v>
      </c>
      <c r="K48" s="49">
        <v>28</v>
      </c>
      <c r="L48" s="49">
        <v>10</v>
      </c>
      <c r="M48" s="49">
        <v>17</v>
      </c>
      <c r="N48" s="49">
        <v>12</v>
      </c>
      <c r="O48" s="49">
        <v>4</v>
      </c>
      <c r="P48" s="49">
        <v>0</v>
      </c>
      <c r="Q48" s="49">
        <v>2</v>
      </c>
      <c r="R48" s="49">
        <v>103</v>
      </c>
      <c r="S48" s="49">
        <v>12</v>
      </c>
      <c r="T48" s="49">
        <v>0</v>
      </c>
      <c r="U48" s="94"/>
    </row>
    <row r="49" s="85" customFormat="1" ht="9" customHeight="1">
      <c r="A49" s="268"/>
    </row>
    <row r="50" s="85" customFormat="1" ht="6.75" customHeight="1">
      <c r="A50" s="268"/>
    </row>
    <row r="51" s="85" customFormat="1" ht="19.5" customHeight="1"/>
    <row r="54" spans="1:3" ht="15.75">
      <c r="A54" s="89"/>
      <c r="B54" s="89"/>
      <c r="C54" s="89"/>
    </row>
    <row r="55" spans="1:20" ht="15.75">
      <c r="A55" s="535" t="str">
        <f>"- "&amp;Sheet1!V33&amp;" -"</f>
        <v>- 214 -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"&amp;Sheet1!W33&amp;" -"</f>
        <v>- 215 -</v>
      </c>
      <c r="L55" s="535"/>
      <c r="M55" s="535"/>
      <c r="N55" s="535"/>
      <c r="O55" s="535"/>
      <c r="P55" s="535"/>
      <c r="Q55" s="535"/>
      <c r="R55" s="535"/>
      <c r="S55" s="535"/>
      <c r="T55" s="535"/>
    </row>
  </sheetData>
  <sheetProtection/>
  <mergeCells count="32">
    <mergeCell ref="K55:T55"/>
    <mergeCell ref="B28:B30"/>
    <mergeCell ref="D5:D6"/>
    <mergeCell ref="A5:C6"/>
    <mergeCell ref="B25:B27"/>
    <mergeCell ref="B34:B36"/>
    <mergeCell ref="B16:B18"/>
    <mergeCell ref="B22:B24"/>
    <mergeCell ref="B40:B42"/>
    <mergeCell ref="B43:B45"/>
    <mergeCell ref="A7:A11"/>
    <mergeCell ref="A12:A18"/>
    <mergeCell ref="A35:A48"/>
    <mergeCell ref="A19:A34"/>
    <mergeCell ref="A55:J55"/>
    <mergeCell ref="B37:B39"/>
    <mergeCell ref="B13:B15"/>
    <mergeCell ref="B19:B21"/>
    <mergeCell ref="C3:I3"/>
    <mergeCell ref="H5:J5"/>
    <mergeCell ref="A1:J1"/>
    <mergeCell ref="K1:T1"/>
    <mergeCell ref="Q5:T5"/>
    <mergeCell ref="E5:E6"/>
    <mergeCell ref="F5:F6"/>
    <mergeCell ref="K5:P5"/>
    <mergeCell ref="L3:S3"/>
    <mergeCell ref="G5:G6"/>
    <mergeCell ref="B46:B48"/>
    <mergeCell ref="B31:B33"/>
    <mergeCell ref="B7:B9"/>
    <mergeCell ref="B10:B12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Layout" zoomScaleSheetLayoutView="85" workbookViewId="0" topLeftCell="A33">
      <selection activeCell="A61" sqref="A61:L61"/>
    </sheetView>
  </sheetViews>
  <sheetFormatPr defaultColWidth="9.00390625" defaultRowHeight="16.5"/>
  <cols>
    <col min="1" max="1" width="2.125" style="38" customWidth="1"/>
    <col min="2" max="3" width="3.50390625" style="38" customWidth="1"/>
    <col min="4" max="4" width="4.50390625" style="38" customWidth="1"/>
    <col min="5" max="5" width="10.375" style="37" customWidth="1"/>
    <col min="6" max="6" width="8.25390625" style="38" customWidth="1"/>
    <col min="7" max="8" width="9.75390625" style="73" customWidth="1"/>
    <col min="9" max="9" width="10.125" style="73" customWidth="1"/>
    <col min="10" max="10" width="10.375" style="72" customWidth="1"/>
    <col min="11" max="11" width="10.00390625" style="72" customWidth="1"/>
    <col min="12" max="12" width="9.75390625" style="71" customWidth="1"/>
    <col min="13" max="16384" width="9.00390625" style="37" customWidth="1"/>
  </cols>
  <sheetData>
    <row r="1" spans="1:12" ht="19.5">
      <c r="A1" s="355" t="s">
        <v>1004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2" customHeight="1">
      <c r="A2" s="382" t="s">
        <v>246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2.25" customHeight="1">
      <c r="A3" s="121"/>
      <c r="B3" s="121"/>
      <c r="C3" s="109"/>
      <c r="D3" s="109"/>
      <c r="E3" s="109"/>
      <c r="F3" s="109"/>
      <c r="G3" s="148"/>
      <c r="H3" s="148"/>
      <c r="I3" s="148"/>
      <c r="J3" s="154"/>
      <c r="K3" s="154"/>
      <c r="L3" s="154"/>
    </row>
    <row r="4" spans="1:12" ht="12" customHeight="1">
      <c r="A4" s="380" t="s">
        <v>464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2" customHeight="1">
      <c r="A5" s="381">
        <v>2011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12" s="39" customFormat="1" ht="6" customHeight="1">
      <c r="A6" s="4"/>
      <c r="B6" s="149"/>
      <c r="C6" s="149"/>
      <c r="D6" s="149"/>
      <c r="E6" s="149"/>
      <c r="F6" s="149"/>
      <c r="G6" s="150"/>
      <c r="H6" s="150"/>
      <c r="I6" s="150"/>
      <c r="J6" s="155"/>
      <c r="K6" s="155"/>
      <c r="L6" s="155"/>
    </row>
    <row r="7" spans="1:12" s="40" customFormat="1" ht="16.5" customHeight="1">
      <c r="A7" s="375" t="s">
        <v>237</v>
      </c>
      <c r="B7" s="375"/>
      <c r="C7" s="375"/>
      <c r="D7" s="375"/>
      <c r="E7" s="375"/>
      <c r="F7" s="376"/>
      <c r="G7" s="363" t="s">
        <v>445</v>
      </c>
      <c r="H7" s="367" t="s">
        <v>444</v>
      </c>
      <c r="I7" s="365" t="s">
        <v>995</v>
      </c>
      <c r="J7" s="379" t="s">
        <v>443</v>
      </c>
      <c r="K7" s="379" t="s">
        <v>442</v>
      </c>
      <c r="L7" s="379" t="s">
        <v>441</v>
      </c>
    </row>
    <row r="8" spans="1:12" s="41" customFormat="1" ht="41.25" customHeight="1">
      <c r="A8" s="377"/>
      <c r="B8" s="377"/>
      <c r="C8" s="377"/>
      <c r="D8" s="377"/>
      <c r="E8" s="377"/>
      <c r="F8" s="378"/>
      <c r="G8" s="364"/>
      <c r="H8" s="368"/>
      <c r="I8" s="366"/>
      <c r="J8" s="362"/>
      <c r="K8" s="362"/>
      <c r="L8" s="362"/>
    </row>
    <row r="9" spans="1:12" s="40" customFormat="1" ht="14.25" customHeight="1">
      <c r="A9" s="383" t="s">
        <v>996</v>
      </c>
      <c r="B9" s="369"/>
      <c r="C9" s="369"/>
      <c r="D9" s="369"/>
      <c r="E9" s="370"/>
      <c r="F9" s="151" t="s">
        <v>834</v>
      </c>
      <c r="G9" s="214">
        <v>164983</v>
      </c>
      <c r="H9" s="214">
        <v>6211144</v>
      </c>
      <c r="I9" s="214">
        <v>21346923</v>
      </c>
      <c r="J9" s="297">
        <v>100</v>
      </c>
      <c r="K9" s="297">
        <f>H9/G9</f>
        <v>37.64717576962475</v>
      </c>
      <c r="L9" s="297">
        <f>I9/G9</f>
        <v>129.3886218580096</v>
      </c>
    </row>
    <row r="10" spans="1:12" s="40" customFormat="1" ht="14.25" customHeight="1">
      <c r="A10" s="371"/>
      <c r="B10" s="371"/>
      <c r="C10" s="371"/>
      <c r="D10" s="371"/>
      <c r="E10" s="372"/>
      <c r="F10" s="152" t="s">
        <v>835</v>
      </c>
      <c r="G10" s="215">
        <v>100140</v>
      </c>
      <c r="H10" s="215">
        <v>3873683</v>
      </c>
      <c r="I10" s="215">
        <v>13877491</v>
      </c>
      <c r="J10" s="298">
        <v>100</v>
      </c>
      <c r="K10" s="298">
        <f aca="true" t="shared" si="0" ref="K10:K44">H10/G10</f>
        <v>38.682674256041544</v>
      </c>
      <c r="L10" s="298">
        <f aca="true" t="shared" si="1" ref="L10:L44">I10/G10</f>
        <v>138.5808967445576</v>
      </c>
    </row>
    <row r="11" spans="1:12" s="40" customFormat="1" ht="14.25" customHeight="1">
      <c r="A11" s="373"/>
      <c r="B11" s="373"/>
      <c r="C11" s="373"/>
      <c r="D11" s="373"/>
      <c r="E11" s="374"/>
      <c r="F11" s="152" t="s">
        <v>836</v>
      </c>
      <c r="G11" s="216">
        <v>64843</v>
      </c>
      <c r="H11" s="215">
        <v>2337461</v>
      </c>
      <c r="I11" s="216">
        <v>7469432</v>
      </c>
      <c r="J11" s="299">
        <v>100</v>
      </c>
      <c r="K11" s="299">
        <f t="shared" si="0"/>
        <v>36.0480082661197</v>
      </c>
      <c r="L11" s="299">
        <f t="shared" si="1"/>
        <v>115.19257282975803</v>
      </c>
    </row>
    <row r="12" spans="1:12" s="40" customFormat="1" ht="14.25" customHeight="1">
      <c r="A12" s="416" t="s">
        <v>837</v>
      </c>
      <c r="B12" s="418" t="s">
        <v>841</v>
      </c>
      <c r="C12" s="405"/>
      <c r="D12" s="405"/>
      <c r="E12" s="406"/>
      <c r="F12" s="151" t="s">
        <v>834</v>
      </c>
      <c r="G12" s="217">
        <v>164067</v>
      </c>
      <c r="H12" s="214">
        <v>4759965</v>
      </c>
      <c r="I12" s="217">
        <v>16848377</v>
      </c>
      <c r="J12" s="297">
        <f>ROUND(G12/$G$9*100,1)</f>
        <v>99.4</v>
      </c>
      <c r="K12" s="297">
        <f t="shared" si="0"/>
        <v>29.012324233392455</v>
      </c>
      <c r="L12" s="297">
        <f t="shared" si="1"/>
        <v>102.69205263703243</v>
      </c>
    </row>
    <row r="13" spans="1:12" s="40" customFormat="1" ht="14.25" customHeight="1">
      <c r="A13" s="417"/>
      <c r="B13" s="419"/>
      <c r="C13" s="407"/>
      <c r="D13" s="407"/>
      <c r="E13" s="408"/>
      <c r="F13" s="152" t="s">
        <v>835</v>
      </c>
      <c r="G13" s="215">
        <v>99559</v>
      </c>
      <c r="H13" s="218">
        <v>2973699</v>
      </c>
      <c r="I13" s="218">
        <v>11037143</v>
      </c>
      <c r="J13" s="298">
        <f>ROUND(G13/$G$10*100,1)</f>
        <v>99.4</v>
      </c>
      <c r="K13" s="298">
        <f t="shared" si="0"/>
        <v>29.8687110155787</v>
      </c>
      <c r="L13" s="298">
        <f t="shared" si="1"/>
        <v>110.86032402896775</v>
      </c>
    </row>
    <row r="14" spans="1:12" s="40" customFormat="1" ht="14.25" customHeight="1">
      <c r="A14" s="417"/>
      <c r="B14" s="420"/>
      <c r="C14" s="409"/>
      <c r="D14" s="409"/>
      <c r="E14" s="410"/>
      <c r="F14" s="152" t="s">
        <v>836</v>
      </c>
      <c r="G14" s="217">
        <v>64508</v>
      </c>
      <c r="H14" s="219">
        <v>1786266</v>
      </c>
      <c r="I14" s="219">
        <v>5811234</v>
      </c>
      <c r="J14" s="299">
        <f>ROUND(G14/$G$11*100,1)</f>
        <v>99.5</v>
      </c>
      <c r="K14" s="299">
        <f t="shared" si="0"/>
        <v>27.690612017114155</v>
      </c>
      <c r="L14" s="299">
        <f t="shared" si="1"/>
        <v>90.08547777019905</v>
      </c>
    </row>
    <row r="15" spans="1:12" s="40" customFormat="1" ht="14.25" customHeight="1">
      <c r="A15" s="417"/>
      <c r="B15" s="395" t="s">
        <v>997</v>
      </c>
      <c r="C15" s="396"/>
      <c r="D15" s="396"/>
      <c r="E15" s="397"/>
      <c r="F15" s="151" t="s">
        <v>834</v>
      </c>
      <c r="G15" s="214">
        <v>526</v>
      </c>
      <c r="H15" s="214">
        <v>655</v>
      </c>
      <c r="I15" s="214">
        <v>62332</v>
      </c>
      <c r="J15" s="297">
        <f>ROUND(G15/$G$9*100,1)</f>
        <v>0.3</v>
      </c>
      <c r="K15" s="297">
        <f t="shared" si="0"/>
        <v>1.2452471482889733</v>
      </c>
      <c r="L15" s="297">
        <f t="shared" si="1"/>
        <v>118.50190114068441</v>
      </c>
    </row>
    <row r="16" spans="1:12" s="40" customFormat="1" ht="14.25" customHeight="1">
      <c r="A16" s="417"/>
      <c r="B16" s="385"/>
      <c r="C16" s="386"/>
      <c r="D16" s="386"/>
      <c r="E16" s="387"/>
      <c r="F16" s="152" t="s">
        <v>835</v>
      </c>
      <c r="G16" s="215">
        <v>230</v>
      </c>
      <c r="H16" s="215">
        <v>277</v>
      </c>
      <c r="I16" s="215">
        <v>35688</v>
      </c>
      <c r="J16" s="298">
        <f>ROUND(G16/$G$10*100,1)</f>
        <v>0.2</v>
      </c>
      <c r="K16" s="298">
        <f t="shared" si="0"/>
        <v>1.2043478260869565</v>
      </c>
      <c r="L16" s="298">
        <f t="shared" si="1"/>
        <v>155.16521739130434</v>
      </c>
    </row>
    <row r="17" spans="1:12" s="40" customFormat="1" ht="20.25" customHeight="1">
      <c r="A17" s="417"/>
      <c r="B17" s="388"/>
      <c r="C17" s="389"/>
      <c r="D17" s="389"/>
      <c r="E17" s="390"/>
      <c r="F17" s="152" t="s">
        <v>836</v>
      </c>
      <c r="G17" s="216">
        <v>296</v>
      </c>
      <c r="H17" s="216">
        <v>378</v>
      </c>
      <c r="I17" s="216">
        <v>26644</v>
      </c>
      <c r="J17" s="299">
        <f>ROUND(G17/$G$11*100,1)</f>
        <v>0.5</v>
      </c>
      <c r="K17" s="299">
        <f t="shared" si="0"/>
        <v>1.277027027027027</v>
      </c>
      <c r="L17" s="299">
        <f t="shared" si="1"/>
        <v>90.01351351351352</v>
      </c>
    </row>
    <row r="18" spans="1:12" s="40" customFormat="1" ht="14.25" customHeight="1">
      <c r="A18" s="417"/>
      <c r="B18" s="418" t="s">
        <v>396</v>
      </c>
      <c r="C18" s="405"/>
      <c r="D18" s="405"/>
      <c r="E18" s="406"/>
      <c r="F18" s="151" t="s">
        <v>834</v>
      </c>
      <c r="G18" s="214">
        <v>9</v>
      </c>
      <c r="H18" s="214">
        <v>15</v>
      </c>
      <c r="I18" s="214">
        <v>105</v>
      </c>
      <c r="J18" s="316">
        <v>0</v>
      </c>
      <c r="K18" s="297">
        <f t="shared" si="0"/>
        <v>1.6666666666666667</v>
      </c>
      <c r="L18" s="297">
        <f t="shared" si="1"/>
        <v>11.666666666666666</v>
      </c>
    </row>
    <row r="19" spans="1:12" s="40" customFormat="1" ht="14.25" customHeight="1">
      <c r="A19" s="417"/>
      <c r="B19" s="419"/>
      <c r="C19" s="407"/>
      <c r="D19" s="407"/>
      <c r="E19" s="408"/>
      <c r="F19" s="152" t="s">
        <v>835</v>
      </c>
      <c r="G19" s="215">
        <v>9</v>
      </c>
      <c r="H19" s="215">
        <v>15</v>
      </c>
      <c r="I19" s="215">
        <v>105</v>
      </c>
      <c r="J19" s="317">
        <v>0</v>
      </c>
      <c r="K19" s="298">
        <f t="shared" si="0"/>
        <v>1.6666666666666667</v>
      </c>
      <c r="L19" s="298">
        <f t="shared" si="1"/>
        <v>11.666666666666666</v>
      </c>
    </row>
    <row r="20" spans="1:12" s="40" customFormat="1" ht="14.25" customHeight="1">
      <c r="A20" s="417"/>
      <c r="B20" s="420"/>
      <c r="C20" s="409"/>
      <c r="D20" s="409"/>
      <c r="E20" s="410"/>
      <c r="F20" s="152" t="s">
        <v>836</v>
      </c>
      <c r="G20" s="216">
        <v>0</v>
      </c>
      <c r="H20" s="216">
        <v>0</v>
      </c>
      <c r="I20" s="216">
        <v>0</v>
      </c>
      <c r="J20" s="299">
        <f>ROUND(G20/$G$11*100,1)</f>
        <v>0</v>
      </c>
      <c r="K20" s="299">
        <v>0</v>
      </c>
      <c r="L20" s="299">
        <v>0</v>
      </c>
    </row>
    <row r="21" spans="1:12" s="40" customFormat="1" ht="14.25" customHeight="1">
      <c r="A21" s="417"/>
      <c r="B21" s="418" t="s">
        <v>838</v>
      </c>
      <c r="C21" s="405"/>
      <c r="D21" s="405"/>
      <c r="E21" s="406"/>
      <c r="F21" s="151" t="s">
        <v>834</v>
      </c>
      <c r="G21" s="217">
        <v>2430</v>
      </c>
      <c r="H21" s="217">
        <v>2430</v>
      </c>
      <c r="I21" s="217">
        <v>324597</v>
      </c>
      <c r="J21" s="297">
        <f>ROUND(G21/$G$9*100,1)</f>
        <v>1.5</v>
      </c>
      <c r="K21" s="297">
        <f t="shared" si="0"/>
        <v>1</v>
      </c>
      <c r="L21" s="297">
        <f t="shared" si="1"/>
        <v>133.57901234567902</v>
      </c>
    </row>
    <row r="22" spans="1:12" s="40" customFormat="1" ht="14.25">
      <c r="A22" s="422" t="s">
        <v>440</v>
      </c>
      <c r="B22" s="419"/>
      <c r="C22" s="407"/>
      <c r="D22" s="407"/>
      <c r="E22" s="408"/>
      <c r="F22" s="152" t="s">
        <v>835</v>
      </c>
      <c r="G22" s="217">
        <v>1088</v>
      </c>
      <c r="H22" s="217">
        <v>1088</v>
      </c>
      <c r="I22" s="217">
        <v>140229</v>
      </c>
      <c r="J22" s="298">
        <f>ROUND(G22/$G$10*100,1)</f>
        <v>1.1</v>
      </c>
      <c r="K22" s="298">
        <f t="shared" si="0"/>
        <v>1</v>
      </c>
      <c r="L22" s="298">
        <f t="shared" si="1"/>
        <v>128.88694852941177</v>
      </c>
    </row>
    <row r="23" spans="1:12" s="40" customFormat="1" ht="14.25">
      <c r="A23" s="435"/>
      <c r="B23" s="420"/>
      <c r="C23" s="409"/>
      <c r="D23" s="409"/>
      <c r="E23" s="410"/>
      <c r="F23" s="152" t="s">
        <v>836</v>
      </c>
      <c r="G23" s="217">
        <v>1342</v>
      </c>
      <c r="H23" s="217">
        <v>1342</v>
      </c>
      <c r="I23" s="217">
        <v>184368</v>
      </c>
      <c r="J23" s="299">
        <f>ROUND(G23/$G$11*100,1)</f>
        <v>2.1</v>
      </c>
      <c r="K23" s="299">
        <f t="shared" si="0"/>
        <v>1</v>
      </c>
      <c r="L23" s="299">
        <f t="shared" si="1"/>
        <v>137.38301043219076</v>
      </c>
    </row>
    <row r="24" spans="1:12" s="40" customFormat="1" ht="16.5" customHeight="1">
      <c r="A24" s="435"/>
      <c r="B24" s="437" t="s">
        <v>247</v>
      </c>
      <c r="C24" s="438"/>
      <c r="D24" s="438"/>
      <c r="E24" s="439"/>
      <c r="F24" s="151" t="s">
        <v>834</v>
      </c>
      <c r="G24" s="214">
        <v>642</v>
      </c>
      <c r="H24" s="214">
        <v>642</v>
      </c>
      <c r="I24" s="214">
        <v>21811</v>
      </c>
      <c r="J24" s="297">
        <f>ROUND(G24/$G$9*100,1)</f>
        <v>0.4</v>
      </c>
      <c r="K24" s="297">
        <f t="shared" si="0"/>
        <v>1</v>
      </c>
      <c r="L24" s="297">
        <f t="shared" si="1"/>
        <v>33.97352024922118</v>
      </c>
    </row>
    <row r="25" spans="1:12" s="40" customFormat="1" ht="16.5" customHeight="1">
      <c r="A25" s="435"/>
      <c r="B25" s="440"/>
      <c r="C25" s="441"/>
      <c r="D25" s="441"/>
      <c r="E25" s="442"/>
      <c r="F25" s="152" t="s">
        <v>835</v>
      </c>
      <c r="G25" s="215">
        <v>324</v>
      </c>
      <c r="H25" s="215">
        <v>324</v>
      </c>
      <c r="I25" s="215">
        <v>10869</v>
      </c>
      <c r="J25" s="298">
        <f>ROUND(G25/$G$10*100,1)</f>
        <v>0.3</v>
      </c>
      <c r="K25" s="298">
        <f t="shared" si="0"/>
        <v>1</v>
      </c>
      <c r="L25" s="298">
        <f t="shared" si="1"/>
        <v>33.5462962962963</v>
      </c>
    </row>
    <row r="26" spans="1:12" s="40" customFormat="1" ht="16.5" customHeight="1">
      <c r="A26" s="435"/>
      <c r="B26" s="443"/>
      <c r="C26" s="444"/>
      <c r="D26" s="444"/>
      <c r="E26" s="445"/>
      <c r="F26" s="152" t="s">
        <v>836</v>
      </c>
      <c r="G26" s="216">
        <v>318</v>
      </c>
      <c r="H26" s="216">
        <v>318</v>
      </c>
      <c r="I26" s="216">
        <v>10942</v>
      </c>
      <c r="J26" s="299">
        <f>ROUND(G26/$G$11*100,1)</f>
        <v>0.5</v>
      </c>
      <c r="K26" s="299">
        <f t="shared" si="0"/>
        <v>1</v>
      </c>
      <c r="L26" s="299">
        <f t="shared" si="1"/>
        <v>34.40880503144654</v>
      </c>
    </row>
    <row r="27" spans="1:12" s="40" customFormat="1" ht="14.25" customHeight="1">
      <c r="A27" s="435"/>
      <c r="B27" s="418" t="s">
        <v>839</v>
      </c>
      <c r="C27" s="405"/>
      <c r="D27" s="405"/>
      <c r="E27" s="406"/>
      <c r="F27" s="151" t="s">
        <v>834</v>
      </c>
      <c r="G27" s="217">
        <v>163761</v>
      </c>
      <c r="H27" s="217">
        <v>3729891</v>
      </c>
      <c r="I27" s="217">
        <v>13754144</v>
      </c>
      <c r="J27" s="297">
        <f>ROUND(G27/$G$9*100,1)</f>
        <v>99.3</v>
      </c>
      <c r="K27" s="297">
        <f t="shared" si="0"/>
        <v>22.776430285599137</v>
      </c>
      <c r="L27" s="297">
        <f t="shared" si="1"/>
        <v>83.98913050115718</v>
      </c>
    </row>
    <row r="28" spans="1:12" s="40" customFormat="1" ht="14.25">
      <c r="A28" s="435"/>
      <c r="B28" s="419"/>
      <c r="C28" s="407"/>
      <c r="D28" s="407"/>
      <c r="E28" s="408"/>
      <c r="F28" s="152" t="s">
        <v>835</v>
      </c>
      <c r="G28" s="217">
        <v>99393</v>
      </c>
      <c r="H28" s="217">
        <v>2318384</v>
      </c>
      <c r="I28" s="217">
        <v>9210402</v>
      </c>
      <c r="J28" s="298">
        <f>ROUND(G28/$G$10*100,1)</f>
        <v>99.3</v>
      </c>
      <c r="K28" s="298">
        <f t="shared" si="0"/>
        <v>23.325425331763807</v>
      </c>
      <c r="L28" s="298">
        <f t="shared" si="1"/>
        <v>92.66650568953548</v>
      </c>
    </row>
    <row r="29" spans="1:12" s="40" customFormat="1" ht="14.25">
      <c r="A29" s="435"/>
      <c r="B29" s="420"/>
      <c r="C29" s="409"/>
      <c r="D29" s="409"/>
      <c r="E29" s="410"/>
      <c r="F29" s="152" t="s">
        <v>836</v>
      </c>
      <c r="G29" s="217">
        <v>64368</v>
      </c>
      <c r="H29" s="217">
        <v>1411507</v>
      </c>
      <c r="I29" s="217">
        <v>4543742</v>
      </c>
      <c r="J29" s="299">
        <f>ROUND(G29/$G$11*100,1)</f>
        <v>99.3</v>
      </c>
      <c r="K29" s="299">
        <f t="shared" si="0"/>
        <v>21.928706810837685</v>
      </c>
      <c r="L29" s="299">
        <f t="shared" si="1"/>
        <v>70.59007581406911</v>
      </c>
    </row>
    <row r="30" spans="1:12" s="40" customFormat="1" ht="14.25" customHeight="1">
      <c r="A30" s="435"/>
      <c r="B30" s="418" t="s">
        <v>840</v>
      </c>
      <c r="C30" s="405"/>
      <c r="D30" s="405"/>
      <c r="E30" s="406"/>
      <c r="F30" s="151" t="s">
        <v>834</v>
      </c>
      <c r="G30" s="214">
        <v>120996</v>
      </c>
      <c r="H30" s="214">
        <v>1026332</v>
      </c>
      <c r="I30" s="214">
        <v>2685388</v>
      </c>
      <c r="J30" s="297">
        <f>ROUND(G30/$G$9*100,1)</f>
        <v>73.3</v>
      </c>
      <c r="K30" s="297">
        <f t="shared" si="0"/>
        <v>8.482363053324077</v>
      </c>
      <c r="L30" s="297">
        <f t="shared" si="1"/>
        <v>22.194022942907203</v>
      </c>
    </row>
    <row r="31" spans="1:12" s="40" customFormat="1" ht="14.25">
      <c r="A31" s="435"/>
      <c r="B31" s="419"/>
      <c r="C31" s="407"/>
      <c r="D31" s="407"/>
      <c r="E31" s="408"/>
      <c r="F31" s="152" t="s">
        <v>835</v>
      </c>
      <c r="G31" s="215">
        <v>69776</v>
      </c>
      <c r="H31" s="215">
        <v>653611</v>
      </c>
      <c r="I31" s="215">
        <v>1639850</v>
      </c>
      <c r="J31" s="298">
        <f>ROUND(G31/$G$10*100,1)</f>
        <v>69.7</v>
      </c>
      <c r="K31" s="298">
        <f t="shared" si="0"/>
        <v>9.367275280898877</v>
      </c>
      <c r="L31" s="298">
        <f t="shared" si="1"/>
        <v>23.50163379958725</v>
      </c>
    </row>
    <row r="32" spans="1:12" s="40" customFormat="1" ht="14.25">
      <c r="A32" s="436"/>
      <c r="B32" s="420"/>
      <c r="C32" s="409"/>
      <c r="D32" s="409"/>
      <c r="E32" s="410"/>
      <c r="F32" s="152" t="s">
        <v>836</v>
      </c>
      <c r="G32" s="216">
        <v>51220</v>
      </c>
      <c r="H32" s="216">
        <v>372721</v>
      </c>
      <c r="I32" s="216">
        <v>1045538</v>
      </c>
      <c r="J32" s="299">
        <f>ROUND(G32/$G$11*100,1)</f>
        <v>79</v>
      </c>
      <c r="K32" s="299">
        <f t="shared" si="0"/>
        <v>7.276864506052323</v>
      </c>
      <c r="L32" s="299">
        <f t="shared" si="1"/>
        <v>20.41269035532995</v>
      </c>
    </row>
    <row r="33" spans="1:12" s="40" customFormat="1" ht="14.25" customHeight="1">
      <c r="A33" s="416" t="s">
        <v>395</v>
      </c>
      <c r="B33" s="418" t="s">
        <v>841</v>
      </c>
      <c r="C33" s="405"/>
      <c r="D33" s="405"/>
      <c r="E33" s="406"/>
      <c r="F33" s="151" t="s">
        <v>834</v>
      </c>
      <c r="G33" s="214">
        <v>2513</v>
      </c>
      <c r="H33" s="214">
        <v>9729</v>
      </c>
      <c r="I33" s="214">
        <v>324967</v>
      </c>
      <c r="J33" s="297">
        <f>ROUND(G33/$G$9*100,1)</f>
        <v>1.5</v>
      </c>
      <c r="K33" s="297">
        <f t="shared" si="0"/>
        <v>3.871468364504576</v>
      </c>
      <c r="L33" s="297">
        <f t="shared" si="1"/>
        <v>129.31436530043771</v>
      </c>
    </row>
    <row r="34" spans="1:12" s="40" customFormat="1" ht="14.25" customHeight="1">
      <c r="A34" s="417"/>
      <c r="B34" s="419"/>
      <c r="C34" s="407"/>
      <c r="D34" s="407"/>
      <c r="E34" s="408"/>
      <c r="F34" s="152" t="s">
        <v>835</v>
      </c>
      <c r="G34" s="215">
        <v>1152</v>
      </c>
      <c r="H34" s="215">
        <v>4048</v>
      </c>
      <c r="I34" s="215">
        <v>165270</v>
      </c>
      <c r="J34" s="298">
        <f>ROUND(G34/$G$10*100,1)</f>
        <v>1.2</v>
      </c>
      <c r="K34" s="298">
        <f t="shared" si="0"/>
        <v>3.513888888888889</v>
      </c>
      <c r="L34" s="298">
        <f t="shared" si="1"/>
        <v>143.46354166666666</v>
      </c>
    </row>
    <row r="35" spans="1:12" s="40" customFormat="1" ht="14.25" customHeight="1">
      <c r="A35" s="417"/>
      <c r="B35" s="420"/>
      <c r="C35" s="409"/>
      <c r="D35" s="409"/>
      <c r="E35" s="410"/>
      <c r="F35" s="152" t="s">
        <v>836</v>
      </c>
      <c r="G35" s="216">
        <v>1361</v>
      </c>
      <c r="H35" s="216">
        <v>5681</v>
      </c>
      <c r="I35" s="216">
        <v>159697</v>
      </c>
      <c r="J35" s="299">
        <f>ROUND(G35/$G$11*100,1)</f>
        <v>2.1</v>
      </c>
      <c r="K35" s="299">
        <f t="shared" si="0"/>
        <v>4.174136664217487</v>
      </c>
      <c r="L35" s="299">
        <f t="shared" si="1"/>
        <v>117.33798677443056</v>
      </c>
    </row>
    <row r="36" spans="1:12" s="40" customFormat="1" ht="14.25" customHeight="1">
      <c r="A36" s="417"/>
      <c r="B36" s="423" t="s">
        <v>248</v>
      </c>
      <c r="C36" s="424"/>
      <c r="D36" s="424"/>
      <c r="E36" s="425"/>
      <c r="F36" s="151" t="s">
        <v>834</v>
      </c>
      <c r="G36" s="217">
        <v>2419</v>
      </c>
      <c r="H36" s="217">
        <v>9601</v>
      </c>
      <c r="I36" s="217">
        <v>300987</v>
      </c>
      <c r="J36" s="297">
        <f>ROUND(G36/$G$9*100,1)</f>
        <v>1.5</v>
      </c>
      <c r="K36" s="297">
        <f t="shared" si="0"/>
        <v>3.968995452666391</v>
      </c>
      <c r="L36" s="297">
        <f t="shared" si="1"/>
        <v>124.42620917734601</v>
      </c>
    </row>
    <row r="37" spans="1:12" s="40" customFormat="1" ht="14.25">
      <c r="A37" s="446" t="s">
        <v>244</v>
      </c>
      <c r="B37" s="426"/>
      <c r="C37" s="427"/>
      <c r="D37" s="427"/>
      <c r="E37" s="428"/>
      <c r="F37" s="152" t="s">
        <v>835</v>
      </c>
      <c r="G37" s="217">
        <v>1105</v>
      </c>
      <c r="H37" s="217">
        <v>3987</v>
      </c>
      <c r="I37" s="217">
        <v>150722</v>
      </c>
      <c r="J37" s="298">
        <f>ROUND(G37/$G$10*100,1)</f>
        <v>1.1</v>
      </c>
      <c r="K37" s="298">
        <f t="shared" si="0"/>
        <v>3.6081447963800906</v>
      </c>
      <c r="L37" s="298">
        <f t="shared" si="1"/>
        <v>136.4</v>
      </c>
    </row>
    <row r="38" spans="1:12" s="40" customFormat="1" ht="14.25">
      <c r="A38" s="446"/>
      <c r="B38" s="391"/>
      <c r="C38" s="392"/>
      <c r="D38" s="392"/>
      <c r="E38" s="393"/>
      <c r="F38" s="152" t="s">
        <v>836</v>
      </c>
      <c r="G38" s="217">
        <v>1314</v>
      </c>
      <c r="H38" s="217">
        <v>5614</v>
      </c>
      <c r="I38" s="217">
        <v>150265</v>
      </c>
      <c r="J38" s="299">
        <f>ROUND(G38/$G$11*100,1)</f>
        <v>2</v>
      </c>
      <c r="K38" s="299">
        <f t="shared" si="0"/>
        <v>4.2724505327245055</v>
      </c>
      <c r="L38" s="299">
        <f t="shared" si="1"/>
        <v>114.35692541856925</v>
      </c>
    </row>
    <row r="39" spans="1:12" s="42" customFormat="1" ht="14.25" customHeight="1">
      <c r="A39" s="446"/>
      <c r="B39" s="423" t="s">
        <v>249</v>
      </c>
      <c r="C39" s="424"/>
      <c r="D39" s="424"/>
      <c r="E39" s="425"/>
      <c r="F39" s="151" t="s">
        <v>834</v>
      </c>
      <c r="G39" s="214">
        <v>98</v>
      </c>
      <c r="H39" s="214">
        <v>128</v>
      </c>
      <c r="I39" s="214">
        <v>23980</v>
      </c>
      <c r="J39" s="297">
        <f>ROUND(G39/$G$9*100,1)</f>
        <v>0.1</v>
      </c>
      <c r="K39" s="297">
        <f t="shared" si="0"/>
        <v>1.3061224489795917</v>
      </c>
      <c r="L39" s="297">
        <f t="shared" si="1"/>
        <v>244.69387755102042</v>
      </c>
    </row>
    <row r="40" spans="1:12" s="42" customFormat="1" ht="14.25">
      <c r="A40" s="446"/>
      <c r="B40" s="426"/>
      <c r="C40" s="427"/>
      <c r="D40" s="427"/>
      <c r="E40" s="428"/>
      <c r="F40" s="152" t="s">
        <v>835</v>
      </c>
      <c r="G40" s="215">
        <v>48</v>
      </c>
      <c r="H40" s="215">
        <v>61</v>
      </c>
      <c r="I40" s="215">
        <v>14548</v>
      </c>
      <c r="J40" s="317">
        <f>ROUND(G40/$G$10*100,1)</f>
        <v>0</v>
      </c>
      <c r="K40" s="298">
        <f t="shared" si="0"/>
        <v>1.2708333333333333</v>
      </c>
      <c r="L40" s="298">
        <f t="shared" si="1"/>
        <v>303.0833333333333</v>
      </c>
    </row>
    <row r="41" spans="1:12" s="42" customFormat="1" ht="14.25">
      <c r="A41" s="446"/>
      <c r="B41" s="391"/>
      <c r="C41" s="392"/>
      <c r="D41" s="392"/>
      <c r="E41" s="393"/>
      <c r="F41" s="152" t="s">
        <v>836</v>
      </c>
      <c r="G41" s="216">
        <v>50</v>
      </c>
      <c r="H41" s="216">
        <v>67</v>
      </c>
      <c r="I41" s="216">
        <v>9432</v>
      </c>
      <c r="J41" s="299">
        <f>ROUND(G41/$G$11*100,1)</f>
        <v>0.1</v>
      </c>
      <c r="K41" s="299">
        <f t="shared" si="0"/>
        <v>1.34</v>
      </c>
      <c r="L41" s="299">
        <f t="shared" si="1"/>
        <v>188.64</v>
      </c>
    </row>
    <row r="42" spans="1:12" s="40" customFormat="1" ht="14.25" customHeight="1">
      <c r="A42" s="405" t="s">
        <v>394</v>
      </c>
      <c r="B42" s="405"/>
      <c r="C42" s="405"/>
      <c r="D42" s="405"/>
      <c r="E42" s="406"/>
      <c r="F42" s="151" t="s">
        <v>834</v>
      </c>
      <c r="G42" s="214">
        <v>134045</v>
      </c>
      <c r="H42" s="214">
        <v>1441450</v>
      </c>
      <c r="I42" s="214">
        <v>4173579</v>
      </c>
      <c r="J42" s="297">
        <f>ROUND(G42/$G$9*100,1)</f>
        <v>81.2</v>
      </c>
      <c r="K42" s="297">
        <f t="shared" si="0"/>
        <v>10.753478309522922</v>
      </c>
      <c r="L42" s="297">
        <f>I42/G42</f>
        <v>31.135655936439257</v>
      </c>
    </row>
    <row r="43" spans="1:12" s="40" customFormat="1" ht="14.25">
      <c r="A43" s="407"/>
      <c r="B43" s="407"/>
      <c r="C43" s="407"/>
      <c r="D43" s="407"/>
      <c r="E43" s="408"/>
      <c r="F43" s="152" t="s">
        <v>835</v>
      </c>
      <c r="G43" s="215">
        <v>77561</v>
      </c>
      <c r="H43" s="215">
        <v>895936</v>
      </c>
      <c r="I43" s="215">
        <v>2675078</v>
      </c>
      <c r="J43" s="298">
        <f>ROUND(G43/$G$10*100,1)</f>
        <v>77.5</v>
      </c>
      <c r="K43" s="298">
        <f t="shared" si="0"/>
        <v>11.551372468121865</v>
      </c>
      <c r="L43" s="298">
        <f t="shared" si="1"/>
        <v>34.48998852516084</v>
      </c>
    </row>
    <row r="44" spans="1:12" s="40" customFormat="1" ht="14.25">
      <c r="A44" s="431"/>
      <c r="B44" s="409"/>
      <c r="C44" s="409"/>
      <c r="D44" s="409"/>
      <c r="E44" s="410"/>
      <c r="F44" s="152" t="s">
        <v>836</v>
      </c>
      <c r="G44" s="216">
        <v>56484</v>
      </c>
      <c r="H44" s="216">
        <v>545514</v>
      </c>
      <c r="I44" s="216">
        <v>1498501</v>
      </c>
      <c r="J44" s="299">
        <f>ROUND(G44/$G$11*100,1)</f>
        <v>87.1</v>
      </c>
      <c r="K44" s="299">
        <f t="shared" si="0"/>
        <v>9.657850010622477</v>
      </c>
      <c r="L44" s="299">
        <f t="shared" si="1"/>
        <v>26.529654415409674</v>
      </c>
    </row>
    <row r="45" spans="1:12" s="75" customFormat="1" ht="12">
      <c r="A45" s="432" t="s">
        <v>259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</row>
    <row r="46" spans="1:12" s="75" customFormat="1" ht="12">
      <c r="A46" s="432" t="s">
        <v>260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</row>
    <row r="47" spans="1:12" s="75" customFormat="1" ht="12">
      <c r="A47" s="433" t="s">
        <v>280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</row>
    <row r="48" spans="1:12" s="75" customFormat="1" ht="12" customHeight="1">
      <c r="A48" s="433" t="s">
        <v>189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</row>
    <row r="49" spans="1:12" s="75" customFormat="1" ht="16.5">
      <c r="A49" s="323" t="s">
        <v>53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</row>
    <row r="50" spans="1:12" s="75" customFormat="1" ht="12">
      <c r="A50" s="432" t="s">
        <v>34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</row>
    <row r="51" spans="1:12" s="75" customFormat="1" ht="12">
      <c r="A51" s="434" t="s">
        <v>261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</row>
    <row r="52" spans="1:12" s="75" customFormat="1" ht="12">
      <c r="A52" s="429" t="s">
        <v>262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</row>
    <row r="53" spans="1:12" s="75" customFormat="1" ht="12">
      <c r="A53" s="430" t="s">
        <v>321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</row>
    <row r="54" spans="1:12" s="75" customFormat="1" ht="12">
      <c r="A54" s="430" t="s">
        <v>318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</row>
    <row r="55" spans="1:12" s="75" customFormat="1" ht="10.5" customHeight="1">
      <c r="A55" s="430" t="s">
        <v>323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</row>
    <row r="56" spans="1:12" s="75" customFormat="1" ht="11.25" customHeight="1">
      <c r="A56" s="413" t="s">
        <v>33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</row>
    <row r="57" spans="1:12" ht="6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6.75" customHeight="1">
      <c r="A58" s="37"/>
      <c r="B58" s="37"/>
      <c r="C58" s="37"/>
      <c r="D58" s="37"/>
      <c r="F58" s="37"/>
      <c r="G58" s="37"/>
      <c r="H58" s="37"/>
      <c r="I58" s="37"/>
      <c r="J58" s="37"/>
      <c r="K58" s="37"/>
      <c r="L58" s="37"/>
    </row>
    <row r="59" spans="1:12" ht="6" customHeight="1">
      <c r="A59" s="37"/>
      <c r="B59" s="37"/>
      <c r="C59" s="37"/>
      <c r="D59" s="37"/>
      <c r="F59" s="37"/>
      <c r="G59" s="37"/>
      <c r="H59" s="37"/>
      <c r="I59" s="37"/>
      <c r="J59" s="37"/>
      <c r="K59" s="37"/>
      <c r="L59" s="37"/>
    </row>
    <row r="60" ht="11.25" customHeight="1"/>
    <row r="61" spans="1:12" ht="16.5">
      <c r="A61" s="357" t="str">
        <f>"- "&amp;Sheet1!B23&amp;" -"</f>
        <v>- 146 -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</row>
  </sheetData>
  <sheetProtection/>
  <mergeCells count="39">
    <mergeCell ref="A55:L55"/>
    <mergeCell ref="A48:L48"/>
    <mergeCell ref="A54:L54"/>
    <mergeCell ref="A2:L2"/>
    <mergeCell ref="A33:A36"/>
    <mergeCell ref="B33:E35"/>
    <mergeCell ref="B36:E38"/>
    <mergeCell ref="A37:A41"/>
    <mergeCell ref="B39:E41"/>
    <mergeCell ref="B21:E23"/>
    <mergeCell ref="A22:A32"/>
    <mergeCell ref="B24:E26"/>
    <mergeCell ref="A12:A21"/>
    <mergeCell ref="A1:L1"/>
    <mergeCell ref="A4:L4"/>
    <mergeCell ref="L7:L8"/>
    <mergeCell ref="A9:E11"/>
    <mergeCell ref="G7:G8"/>
    <mergeCell ref="H7:H8"/>
    <mergeCell ref="A51:L51"/>
    <mergeCell ref="A5:L5"/>
    <mergeCell ref="A7:F8"/>
    <mergeCell ref="J7:J8"/>
    <mergeCell ref="K7:K8"/>
    <mergeCell ref="B30:E32"/>
    <mergeCell ref="I7:I8"/>
    <mergeCell ref="B12:E14"/>
    <mergeCell ref="B15:E17"/>
    <mergeCell ref="B18:E20"/>
    <mergeCell ref="A61:L61"/>
    <mergeCell ref="A56:L56"/>
    <mergeCell ref="B27:E29"/>
    <mergeCell ref="A52:L52"/>
    <mergeCell ref="A53:L53"/>
    <mergeCell ref="A42:E44"/>
    <mergeCell ref="A45:L45"/>
    <mergeCell ref="A46:L46"/>
    <mergeCell ref="A47:L47"/>
    <mergeCell ref="A50:L50"/>
  </mergeCells>
  <printOptions/>
  <pageMargins left="0.3937007874015748" right="0.3937007874015748" top="0.3937007874015748" bottom="0.010416666666666666" header="0.5118110236220472" footer="0.7086614173228347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S70"/>
  <sheetViews>
    <sheetView view="pageLayout" zoomScaleSheetLayoutView="85" workbookViewId="0" topLeftCell="A37">
      <selection activeCell="A55" sqref="A55:J55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75390625" style="89" customWidth="1"/>
    <col min="18" max="18" width="9.875" style="89" customWidth="1"/>
    <col min="19" max="19" width="8.75390625" style="89" customWidth="1"/>
    <col min="20" max="20" width="12.00390625" style="89" customWidth="1"/>
    <col min="21" max="16384" width="9.00390625" style="89" customWidth="1"/>
  </cols>
  <sheetData>
    <row r="1" spans="1:20" s="96" customFormat="1" ht="21.75" customHeight="1">
      <c r="A1" s="539" t="s">
        <v>570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221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712</v>
      </c>
      <c r="K3" s="61"/>
      <c r="L3" s="461" t="s">
        <v>517</v>
      </c>
      <c r="M3" s="461"/>
      <c r="N3" s="461"/>
      <c r="O3" s="461"/>
      <c r="P3" s="461"/>
      <c r="Q3" s="461"/>
      <c r="R3" s="461"/>
      <c r="S3" s="461"/>
      <c r="T3" s="138" t="s">
        <v>697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713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12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700</v>
      </c>
      <c r="R6" s="117" t="s">
        <v>708</v>
      </c>
      <c r="S6" s="117" t="s">
        <v>701</v>
      </c>
      <c r="T6" s="120" t="s">
        <v>711</v>
      </c>
    </row>
    <row r="7" spans="1:20" s="85" customFormat="1" ht="13.5" customHeight="1">
      <c r="A7" s="541"/>
      <c r="B7" s="534" t="s">
        <v>132</v>
      </c>
      <c r="C7" s="141" t="s">
        <v>687</v>
      </c>
      <c r="D7" s="56">
        <f>SUM(D8:D9)</f>
        <v>300</v>
      </c>
      <c r="E7" s="56">
        <f>SUM(E8:E9)</f>
        <v>300</v>
      </c>
      <c r="F7" s="56">
        <f aca="true" t="shared" si="0" ref="F7:T7">SUM(F8:F9)</f>
        <v>0</v>
      </c>
      <c r="G7" s="56">
        <v>34</v>
      </c>
      <c r="H7" s="56">
        <f t="shared" si="0"/>
        <v>0</v>
      </c>
      <c r="I7" s="56">
        <f t="shared" si="0"/>
        <v>25</v>
      </c>
      <c r="J7" s="56">
        <f t="shared" si="0"/>
        <v>92</v>
      </c>
      <c r="K7" s="56">
        <f t="shared" si="0"/>
        <v>62</v>
      </c>
      <c r="L7" s="56">
        <f t="shared" si="0"/>
        <v>33</v>
      </c>
      <c r="M7" s="56">
        <f t="shared" si="0"/>
        <v>41</v>
      </c>
      <c r="N7" s="56">
        <f t="shared" si="0"/>
        <v>28</v>
      </c>
      <c r="O7" s="56">
        <f t="shared" si="0"/>
        <v>14</v>
      </c>
      <c r="P7" s="56">
        <f t="shared" si="0"/>
        <v>3</v>
      </c>
      <c r="Q7" s="56">
        <f t="shared" si="0"/>
        <v>39</v>
      </c>
      <c r="R7" s="56">
        <f t="shared" si="0"/>
        <v>225</v>
      </c>
      <c r="S7" s="56">
        <f t="shared" si="0"/>
        <v>32</v>
      </c>
      <c r="T7" s="56">
        <f t="shared" si="0"/>
        <v>4</v>
      </c>
    </row>
    <row r="8" spans="1:20" s="85" customFormat="1" ht="13.5" customHeight="1">
      <c r="A8" s="542"/>
      <c r="B8" s="516"/>
      <c r="C8" s="143" t="s">
        <v>688</v>
      </c>
      <c r="D8" s="49">
        <v>186</v>
      </c>
      <c r="E8" s="49">
        <v>186</v>
      </c>
      <c r="F8" s="49">
        <v>0</v>
      </c>
      <c r="G8" s="10">
        <v>34</v>
      </c>
      <c r="H8" s="49">
        <v>0</v>
      </c>
      <c r="I8" s="49">
        <v>15</v>
      </c>
      <c r="J8" s="49">
        <v>57</v>
      </c>
      <c r="K8" s="49">
        <v>32</v>
      </c>
      <c r="L8" s="49">
        <v>20</v>
      </c>
      <c r="M8" s="49">
        <v>31</v>
      </c>
      <c r="N8" s="49">
        <v>17</v>
      </c>
      <c r="O8" s="49">
        <v>9</v>
      </c>
      <c r="P8" s="49">
        <v>3</v>
      </c>
      <c r="Q8" s="49">
        <v>30</v>
      </c>
      <c r="R8" s="49">
        <v>133</v>
      </c>
      <c r="S8" s="49">
        <v>21</v>
      </c>
      <c r="T8" s="49">
        <v>2</v>
      </c>
    </row>
    <row r="9" spans="1:20" s="85" customFormat="1" ht="13.5" customHeight="1">
      <c r="A9" s="542"/>
      <c r="B9" s="517"/>
      <c r="C9" s="143" t="s">
        <v>689</v>
      </c>
      <c r="D9" s="49">
        <v>114</v>
      </c>
      <c r="E9" s="49">
        <v>114</v>
      </c>
      <c r="F9" s="49">
        <v>0</v>
      </c>
      <c r="G9" s="10">
        <v>33</v>
      </c>
      <c r="H9" s="49">
        <v>0</v>
      </c>
      <c r="I9" s="49">
        <v>10</v>
      </c>
      <c r="J9" s="49">
        <v>35</v>
      </c>
      <c r="K9" s="49">
        <v>30</v>
      </c>
      <c r="L9" s="49">
        <v>13</v>
      </c>
      <c r="M9" s="49">
        <v>10</v>
      </c>
      <c r="N9" s="49">
        <v>11</v>
      </c>
      <c r="O9" s="49">
        <v>5</v>
      </c>
      <c r="P9" s="49">
        <v>0</v>
      </c>
      <c r="Q9" s="49">
        <v>9</v>
      </c>
      <c r="R9" s="49">
        <v>92</v>
      </c>
      <c r="S9" s="49">
        <v>11</v>
      </c>
      <c r="T9" s="49">
        <v>2</v>
      </c>
    </row>
    <row r="10" spans="1:20" s="85" customFormat="1" ht="13.5" customHeight="1">
      <c r="A10" s="541" t="s">
        <v>567</v>
      </c>
      <c r="B10" s="536" t="s">
        <v>518</v>
      </c>
      <c r="C10" s="234" t="s">
        <v>702</v>
      </c>
      <c r="D10" s="140">
        <f>SUM(D13,D16)</f>
        <v>88</v>
      </c>
      <c r="E10" s="56">
        <f aca="true" t="shared" si="1" ref="E10:T10">SUM(E13,E16)</f>
        <v>88</v>
      </c>
      <c r="F10" s="56">
        <f t="shared" si="1"/>
        <v>0</v>
      </c>
      <c r="G10" s="56">
        <v>30</v>
      </c>
      <c r="H10" s="56">
        <f t="shared" si="1"/>
        <v>0</v>
      </c>
      <c r="I10" s="56">
        <f t="shared" si="1"/>
        <v>5</v>
      </c>
      <c r="J10" s="56">
        <f t="shared" si="1"/>
        <v>31</v>
      </c>
      <c r="K10" s="56">
        <f t="shared" si="1"/>
        <v>42</v>
      </c>
      <c r="L10" s="56">
        <f t="shared" si="1"/>
        <v>10</v>
      </c>
      <c r="M10" s="5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56">
        <f t="shared" si="1"/>
        <v>0</v>
      </c>
      <c r="S10" s="56">
        <f t="shared" si="1"/>
        <v>0</v>
      </c>
      <c r="T10" s="56">
        <f t="shared" si="1"/>
        <v>0</v>
      </c>
    </row>
    <row r="11" spans="1:20" s="85" customFormat="1" ht="13.5" customHeight="1">
      <c r="A11" s="542"/>
      <c r="B11" s="492"/>
      <c r="C11" s="124" t="s">
        <v>703</v>
      </c>
      <c r="D11" s="24">
        <f>SUM(D14,D17)</f>
        <v>76</v>
      </c>
      <c r="E11" s="10">
        <f>SUM(E14,E17)</f>
        <v>76</v>
      </c>
      <c r="F11" s="10">
        <f aca="true" t="shared" si="2" ref="F11:T11">SUM(F14,F17)</f>
        <v>0</v>
      </c>
      <c r="G11" s="10">
        <f t="shared" si="2"/>
        <v>30</v>
      </c>
      <c r="H11" s="10">
        <f t="shared" si="2"/>
        <v>0</v>
      </c>
      <c r="I11" s="10">
        <f t="shared" si="2"/>
        <v>4</v>
      </c>
      <c r="J11" s="10">
        <f t="shared" si="2"/>
        <v>26</v>
      </c>
      <c r="K11" s="10">
        <f t="shared" si="2"/>
        <v>36</v>
      </c>
      <c r="L11" s="10">
        <f t="shared" si="2"/>
        <v>10</v>
      </c>
      <c r="M11" s="10">
        <f t="shared" si="2"/>
        <v>0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 t="shared" si="2"/>
        <v>0</v>
      </c>
      <c r="S11" s="10">
        <f t="shared" si="2"/>
        <v>0</v>
      </c>
      <c r="T11" s="10">
        <f t="shared" si="2"/>
        <v>0</v>
      </c>
    </row>
    <row r="12" spans="1:20" s="85" customFormat="1" ht="13.5" customHeight="1">
      <c r="A12" s="542"/>
      <c r="B12" s="492"/>
      <c r="C12" s="235" t="s">
        <v>704</v>
      </c>
      <c r="D12" s="24">
        <f>SUM(D15,D18)</f>
        <v>12</v>
      </c>
      <c r="E12" s="10">
        <f>SUM(E15,E18)</f>
        <v>12</v>
      </c>
      <c r="F12" s="10">
        <f aca="true" t="shared" si="3" ref="F12:T12">SUM(F15,F18)</f>
        <v>0</v>
      </c>
      <c r="G12" s="10">
        <f t="shared" si="3"/>
        <v>28</v>
      </c>
      <c r="H12" s="10">
        <f t="shared" si="3"/>
        <v>0</v>
      </c>
      <c r="I12" s="10">
        <f t="shared" si="3"/>
        <v>1</v>
      </c>
      <c r="J12" s="10">
        <f t="shared" si="3"/>
        <v>5</v>
      </c>
      <c r="K12" s="10">
        <f t="shared" si="3"/>
        <v>6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s="85" customFormat="1" ht="13.5" customHeight="1">
      <c r="A13" s="542"/>
      <c r="B13" s="491" t="s">
        <v>519</v>
      </c>
      <c r="C13" s="234" t="s">
        <v>702</v>
      </c>
      <c r="D13" s="54">
        <f>SUM(D14:D15)</f>
        <v>88</v>
      </c>
      <c r="E13" s="55">
        <f aca="true" t="shared" si="4" ref="E13:T13">SUM(E14:E15)</f>
        <v>88</v>
      </c>
      <c r="F13" s="55">
        <f t="shared" si="4"/>
        <v>0</v>
      </c>
      <c r="G13" s="55">
        <v>30</v>
      </c>
      <c r="H13" s="55">
        <f t="shared" si="4"/>
        <v>0</v>
      </c>
      <c r="I13" s="55">
        <f t="shared" si="4"/>
        <v>5</v>
      </c>
      <c r="J13" s="55">
        <f t="shared" si="4"/>
        <v>31</v>
      </c>
      <c r="K13" s="55">
        <f t="shared" si="4"/>
        <v>42</v>
      </c>
      <c r="L13" s="55">
        <f t="shared" si="4"/>
        <v>10</v>
      </c>
      <c r="M13" s="55">
        <f t="shared" si="4"/>
        <v>0</v>
      </c>
      <c r="N13" s="55">
        <f t="shared" si="4"/>
        <v>0</v>
      </c>
      <c r="O13" s="55">
        <f t="shared" si="4"/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</row>
    <row r="14" spans="1:20" s="85" customFormat="1" ht="13.5" customHeight="1">
      <c r="A14" s="538" t="s">
        <v>568</v>
      </c>
      <c r="B14" s="492"/>
      <c r="C14" s="124" t="s">
        <v>703</v>
      </c>
      <c r="D14" s="24">
        <v>76</v>
      </c>
      <c r="E14" s="10">
        <v>76</v>
      </c>
      <c r="F14" s="10">
        <v>0</v>
      </c>
      <c r="G14" s="10">
        <v>30</v>
      </c>
      <c r="H14" s="10">
        <v>0</v>
      </c>
      <c r="I14" s="10">
        <v>4</v>
      </c>
      <c r="J14" s="10">
        <v>26</v>
      </c>
      <c r="K14" s="10">
        <v>36</v>
      </c>
      <c r="L14" s="10">
        <v>10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49">
        <v>0</v>
      </c>
    </row>
    <row r="15" spans="1:20" s="85" customFormat="1" ht="13.5" customHeight="1">
      <c r="A15" s="538"/>
      <c r="B15" s="493"/>
      <c r="C15" s="235" t="s">
        <v>704</v>
      </c>
      <c r="D15" s="24">
        <v>12</v>
      </c>
      <c r="E15" s="10">
        <v>12</v>
      </c>
      <c r="F15" s="10">
        <v>0</v>
      </c>
      <c r="G15" s="10">
        <v>28</v>
      </c>
      <c r="H15" s="10">
        <v>0</v>
      </c>
      <c r="I15" s="10">
        <v>1</v>
      </c>
      <c r="J15" s="10">
        <v>5</v>
      </c>
      <c r="K15" s="10">
        <v>6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49">
        <v>0</v>
      </c>
    </row>
    <row r="16" spans="1:20" s="93" customFormat="1" ht="13.5" customHeight="1">
      <c r="A16" s="538"/>
      <c r="B16" s="491" t="s">
        <v>537</v>
      </c>
      <c r="C16" s="234" t="s">
        <v>702</v>
      </c>
      <c r="D16" s="54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</row>
    <row r="17" spans="1:20" s="93" customFormat="1" ht="13.5" customHeight="1">
      <c r="A17" s="538"/>
      <c r="B17" s="492"/>
      <c r="C17" s="124" t="s">
        <v>703</v>
      </c>
      <c r="D17" s="24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s="93" customFormat="1" ht="13.5" customHeight="1">
      <c r="A18" s="538"/>
      <c r="B18" s="492"/>
      <c r="C18" s="235" t="s">
        <v>704</v>
      </c>
      <c r="D18" s="132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s="93" customFormat="1" ht="13.5" customHeight="1">
      <c r="A19" s="541" t="s">
        <v>569</v>
      </c>
      <c r="B19" s="536" t="s">
        <v>518</v>
      </c>
      <c r="C19" s="141" t="s">
        <v>702</v>
      </c>
      <c r="D19" s="55">
        <f>SUM(D22,D25,D28,D31)</f>
        <v>319</v>
      </c>
      <c r="E19" s="55">
        <f>SUM(E22,E25,E28,E31)</f>
        <v>319</v>
      </c>
      <c r="F19" s="55">
        <f>SUM(F22,F25,F28,F31)</f>
        <v>0</v>
      </c>
      <c r="G19" s="55">
        <f>SUM(G22,G25,G28)/3</f>
        <v>29.833333333333332</v>
      </c>
      <c r="H19" s="55">
        <f>SUM(H22,H25,H28,H31)</f>
        <v>0</v>
      </c>
      <c r="I19" s="55">
        <f aca="true" t="shared" si="5" ref="I19:T19">SUM(I22,I25,I28,I31)</f>
        <v>23</v>
      </c>
      <c r="J19" s="55">
        <f t="shared" si="5"/>
        <v>139</v>
      </c>
      <c r="K19" s="55">
        <f t="shared" si="5"/>
        <v>86</v>
      </c>
      <c r="L19" s="55">
        <f t="shared" si="5"/>
        <v>37</v>
      </c>
      <c r="M19" s="55">
        <f t="shared" si="5"/>
        <v>24</v>
      </c>
      <c r="N19" s="55">
        <f t="shared" si="5"/>
        <v>6</v>
      </c>
      <c r="O19" s="55">
        <f t="shared" si="5"/>
        <v>3</v>
      </c>
      <c r="P19" s="55">
        <f t="shared" si="5"/>
        <v>1</v>
      </c>
      <c r="Q19" s="55">
        <f t="shared" si="5"/>
        <v>12</v>
      </c>
      <c r="R19" s="55">
        <f t="shared" si="5"/>
        <v>289</v>
      </c>
      <c r="S19" s="55">
        <f t="shared" si="5"/>
        <v>18</v>
      </c>
      <c r="T19" s="55">
        <f t="shared" si="5"/>
        <v>0</v>
      </c>
    </row>
    <row r="20" spans="1:20" s="93" customFormat="1" ht="13.5" customHeight="1">
      <c r="A20" s="542"/>
      <c r="B20" s="492"/>
      <c r="C20" s="143" t="s">
        <v>703</v>
      </c>
      <c r="D20" s="10">
        <f>SUM(D23,D26,D29)</f>
        <v>150</v>
      </c>
      <c r="E20" s="10">
        <v>150</v>
      </c>
      <c r="F20" s="10">
        <v>0</v>
      </c>
      <c r="G20" s="10">
        <v>32</v>
      </c>
      <c r="H20" s="10">
        <v>0</v>
      </c>
      <c r="I20" s="10">
        <v>1</v>
      </c>
      <c r="J20" s="10">
        <v>56</v>
      </c>
      <c r="K20" s="10">
        <v>47</v>
      </c>
      <c r="L20" s="10">
        <v>21</v>
      </c>
      <c r="M20" s="10">
        <v>16</v>
      </c>
      <c r="N20" s="10">
        <v>6</v>
      </c>
      <c r="O20" s="10">
        <v>2</v>
      </c>
      <c r="P20" s="10">
        <v>1</v>
      </c>
      <c r="Q20" s="10">
        <v>7</v>
      </c>
      <c r="R20" s="10">
        <v>135</v>
      </c>
      <c r="S20" s="10">
        <v>8</v>
      </c>
      <c r="T20" s="10">
        <v>0</v>
      </c>
    </row>
    <row r="21" spans="1:20" s="93" customFormat="1" ht="13.5" customHeight="1">
      <c r="A21" s="542"/>
      <c r="B21" s="493"/>
      <c r="C21" s="143" t="s">
        <v>704</v>
      </c>
      <c r="D21" s="10">
        <f>SUM(D24,D27,D30)</f>
        <v>169</v>
      </c>
      <c r="E21" s="10">
        <v>169</v>
      </c>
      <c r="F21" s="10">
        <v>0</v>
      </c>
      <c r="G21" s="10">
        <v>29</v>
      </c>
      <c r="H21" s="10">
        <v>0</v>
      </c>
      <c r="I21" s="10">
        <v>22</v>
      </c>
      <c r="J21" s="10">
        <v>83</v>
      </c>
      <c r="K21" s="10">
        <v>39</v>
      </c>
      <c r="L21" s="10">
        <v>16</v>
      </c>
      <c r="M21" s="10">
        <v>8</v>
      </c>
      <c r="N21" s="10">
        <v>0</v>
      </c>
      <c r="O21" s="10">
        <v>1</v>
      </c>
      <c r="P21" s="10">
        <v>0</v>
      </c>
      <c r="Q21" s="10">
        <v>5</v>
      </c>
      <c r="R21" s="10">
        <v>154</v>
      </c>
      <c r="S21" s="10">
        <v>10</v>
      </c>
      <c r="T21" s="10">
        <v>0</v>
      </c>
    </row>
    <row r="22" spans="1:45" s="93" customFormat="1" ht="13.5" customHeight="1">
      <c r="A22" s="542"/>
      <c r="B22" s="491" t="s">
        <v>534</v>
      </c>
      <c r="C22" s="234" t="s">
        <v>702</v>
      </c>
      <c r="D22" s="54">
        <f>SUM(D23:D24)</f>
        <v>103</v>
      </c>
      <c r="E22" s="55">
        <f aca="true" t="shared" si="6" ref="E22:T22">SUM(E23:E24)</f>
        <v>103</v>
      </c>
      <c r="F22" s="55">
        <f t="shared" si="6"/>
        <v>0</v>
      </c>
      <c r="G22" s="55">
        <f>SUM(G23:G24)/2</f>
        <v>31.5</v>
      </c>
      <c r="H22" s="55">
        <f t="shared" si="6"/>
        <v>0</v>
      </c>
      <c r="I22" s="55">
        <f t="shared" si="6"/>
        <v>8</v>
      </c>
      <c r="J22" s="55">
        <f t="shared" si="6"/>
        <v>38</v>
      </c>
      <c r="K22" s="55">
        <f t="shared" si="6"/>
        <v>24</v>
      </c>
      <c r="L22" s="55">
        <f t="shared" si="6"/>
        <v>17</v>
      </c>
      <c r="M22" s="55">
        <f t="shared" si="6"/>
        <v>11</v>
      </c>
      <c r="N22" s="55">
        <f t="shared" si="6"/>
        <v>2</v>
      </c>
      <c r="O22" s="55">
        <f t="shared" si="6"/>
        <v>3</v>
      </c>
      <c r="P22" s="55">
        <f t="shared" si="6"/>
        <v>0</v>
      </c>
      <c r="Q22" s="55">
        <f t="shared" si="6"/>
        <v>4</v>
      </c>
      <c r="R22" s="55">
        <f t="shared" si="6"/>
        <v>94</v>
      </c>
      <c r="S22" s="55">
        <f t="shared" si="6"/>
        <v>5</v>
      </c>
      <c r="T22" s="55">
        <f t="shared" si="6"/>
        <v>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s="93" customFormat="1" ht="13.5" customHeight="1">
      <c r="A23" s="542"/>
      <c r="B23" s="492"/>
      <c r="C23" s="124" t="s">
        <v>703</v>
      </c>
      <c r="D23" s="24">
        <v>69</v>
      </c>
      <c r="E23" s="10">
        <v>69</v>
      </c>
      <c r="F23" s="10">
        <v>0</v>
      </c>
      <c r="G23" s="10">
        <v>33</v>
      </c>
      <c r="H23" s="10">
        <v>0</v>
      </c>
      <c r="I23" s="10">
        <v>1</v>
      </c>
      <c r="J23" s="10">
        <v>23</v>
      </c>
      <c r="K23" s="10">
        <v>19</v>
      </c>
      <c r="L23" s="10">
        <v>14</v>
      </c>
      <c r="M23" s="10">
        <v>8</v>
      </c>
      <c r="N23" s="10">
        <v>2</v>
      </c>
      <c r="O23" s="10">
        <v>2</v>
      </c>
      <c r="P23" s="10">
        <v>0</v>
      </c>
      <c r="Q23" s="10">
        <v>4</v>
      </c>
      <c r="R23" s="10">
        <v>62</v>
      </c>
      <c r="S23" s="10">
        <v>3</v>
      </c>
      <c r="T23" s="10">
        <v>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s="93" customFormat="1" ht="13.5" customHeight="1">
      <c r="A24" s="542"/>
      <c r="B24" s="493"/>
      <c r="C24" s="235" t="s">
        <v>704</v>
      </c>
      <c r="D24" s="24">
        <v>34</v>
      </c>
      <c r="E24" s="10">
        <v>34</v>
      </c>
      <c r="F24" s="10">
        <v>0</v>
      </c>
      <c r="G24" s="10">
        <v>30</v>
      </c>
      <c r="H24" s="10">
        <v>0</v>
      </c>
      <c r="I24" s="10">
        <v>7</v>
      </c>
      <c r="J24" s="10">
        <v>15</v>
      </c>
      <c r="K24" s="10">
        <v>5</v>
      </c>
      <c r="L24" s="10">
        <v>3</v>
      </c>
      <c r="M24" s="10">
        <v>3</v>
      </c>
      <c r="N24" s="10">
        <v>0</v>
      </c>
      <c r="O24" s="10">
        <v>1</v>
      </c>
      <c r="P24" s="10">
        <v>0</v>
      </c>
      <c r="Q24" s="10">
        <v>0</v>
      </c>
      <c r="R24" s="10">
        <v>32</v>
      </c>
      <c r="S24" s="10">
        <v>2</v>
      </c>
      <c r="T24" s="10">
        <v>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20" s="93" customFormat="1" ht="13.5" customHeight="1">
      <c r="A25" s="538" t="s">
        <v>571</v>
      </c>
      <c r="B25" s="491" t="s">
        <v>535</v>
      </c>
      <c r="C25" s="234" t="s">
        <v>702</v>
      </c>
      <c r="D25" s="54">
        <f>SUM(D26:D27)</f>
        <v>214</v>
      </c>
      <c r="E25" s="55">
        <f aca="true" t="shared" si="7" ref="E25:T25">SUM(E26:E27)</f>
        <v>214</v>
      </c>
      <c r="F25" s="55">
        <f t="shared" si="7"/>
        <v>0</v>
      </c>
      <c r="G25" s="55">
        <v>30</v>
      </c>
      <c r="H25" s="55">
        <f t="shared" si="7"/>
        <v>0</v>
      </c>
      <c r="I25" s="55">
        <f t="shared" si="7"/>
        <v>15</v>
      </c>
      <c r="J25" s="55">
        <f t="shared" si="7"/>
        <v>100</v>
      </c>
      <c r="K25" s="55">
        <f t="shared" si="7"/>
        <v>61</v>
      </c>
      <c r="L25" s="55">
        <f t="shared" si="7"/>
        <v>20</v>
      </c>
      <c r="M25" s="55">
        <f t="shared" si="7"/>
        <v>13</v>
      </c>
      <c r="N25" s="55">
        <f t="shared" si="7"/>
        <v>4</v>
      </c>
      <c r="O25" s="55">
        <f t="shared" si="7"/>
        <v>0</v>
      </c>
      <c r="P25" s="55">
        <f t="shared" si="7"/>
        <v>1</v>
      </c>
      <c r="Q25" s="55">
        <f t="shared" si="7"/>
        <v>8</v>
      </c>
      <c r="R25" s="55">
        <f t="shared" si="7"/>
        <v>193</v>
      </c>
      <c r="S25" s="55">
        <f t="shared" si="7"/>
        <v>13</v>
      </c>
      <c r="T25" s="55">
        <f t="shared" si="7"/>
        <v>0</v>
      </c>
    </row>
    <row r="26" spans="1:20" s="93" customFormat="1" ht="13.5" customHeight="1">
      <c r="A26" s="538"/>
      <c r="B26" s="492"/>
      <c r="C26" s="124" t="s">
        <v>703</v>
      </c>
      <c r="D26" s="64">
        <v>79</v>
      </c>
      <c r="E26" s="49">
        <v>79</v>
      </c>
      <c r="F26" s="58">
        <v>0</v>
      </c>
      <c r="G26" s="49">
        <v>32</v>
      </c>
      <c r="H26" s="49">
        <v>0</v>
      </c>
      <c r="I26" s="49">
        <v>0</v>
      </c>
      <c r="J26" s="59">
        <v>32</v>
      </c>
      <c r="K26" s="58">
        <v>27</v>
      </c>
      <c r="L26" s="58">
        <v>7</v>
      </c>
      <c r="M26" s="58">
        <v>8</v>
      </c>
      <c r="N26" s="58">
        <v>4</v>
      </c>
      <c r="O26" s="58">
        <v>0</v>
      </c>
      <c r="P26" s="58">
        <v>1</v>
      </c>
      <c r="Q26" s="58">
        <v>3</v>
      </c>
      <c r="R26" s="58">
        <v>71</v>
      </c>
      <c r="S26" s="58">
        <v>5</v>
      </c>
      <c r="T26" s="58">
        <v>0</v>
      </c>
    </row>
    <row r="27" spans="1:20" s="93" customFormat="1" ht="13.5" customHeight="1">
      <c r="A27" s="538"/>
      <c r="B27" s="493"/>
      <c r="C27" s="235" t="s">
        <v>704</v>
      </c>
      <c r="D27" s="64">
        <v>135</v>
      </c>
      <c r="E27" s="49">
        <v>135</v>
      </c>
      <c r="F27" s="58">
        <v>0</v>
      </c>
      <c r="G27" s="49">
        <v>29</v>
      </c>
      <c r="H27" s="49">
        <v>0</v>
      </c>
      <c r="I27" s="49">
        <v>15</v>
      </c>
      <c r="J27" s="59">
        <v>68</v>
      </c>
      <c r="K27" s="58">
        <v>34</v>
      </c>
      <c r="L27" s="58">
        <v>13</v>
      </c>
      <c r="M27" s="58">
        <v>5</v>
      </c>
      <c r="N27" s="58">
        <v>0</v>
      </c>
      <c r="O27" s="58">
        <v>0</v>
      </c>
      <c r="P27" s="58">
        <v>0</v>
      </c>
      <c r="Q27" s="58">
        <v>5</v>
      </c>
      <c r="R27" s="58">
        <v>122</v>
      </c>
      <c r="S27" s="58">
        <v>8</v>
      </c>
      <c r="T27" s="58">
        <v>0</v>
      </c>
    </row>
    <row r="28" spans="1:20" s="93" customFormat="1" ht="13.5" customHeight="1">
      <c r="A28" s="538"/>
      <c r="B28" s="491" t="s">
        <v>536</v>
      </c>
      <c r="C28" s="234" t="s">
        <v>702</v>
      </c>
      <c r="D28" s="54">
        <v>2</v>
      </c>
      <c r="E28" s="55">
        <v>2</v>
      </c>
      <c r="F28" s="55">
        <v>0</v>
      </c>
      <c r="G28" s="55">
        <v>28</v>
      </c>
      <c r="H28" s="55">
        <v>0</v>
      </c>
      <c r="I28" s="55">
        <v>0</v>
      </c>
      <c r="J28" s="55">
        <v>1</v>
      </c>
      <c r="K28" s="55">
        <v>1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2</v>
      </c>
      <c r="S28" s="55">
        <v>0</v>
      </c>
      <c r="T28" s="55">
        <v>0</v>
      </c>
    </row>
    <row r="29" spans="1:20" s="93" customFormat="1" ht="13.5" customHeight="1">
      <c r="A29" s="538"/>
      <c r="B29" s="492"/>
      <c r="C29" s="124" t="s">
        <v>703</v>
      </c>
      <c r="D29" s="64">
        <v>2</v>
      </c>
      <c r="E29" s="49">
        <v>2</v>
      </c>
      <c r="F29" s="58">
        <v>0</v>
      </c>
      <c r="G29" s="49">
        <v>28</v>
      </c>
      <c r="H29" s="49">
        <v>0</v>
      </c>
      <c r="I29" s="49">
        <v>0</v>
      </c>
      <c r="J29" s="59">
        <v>1</v>
      </c>
      <c r="K29" s="58">
        <v>1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2</v>
      </c>
      <c r="S29" s="58">
        <v>0</v>
      </c>
      <c r="T29" s="62">
        <v>0</v>
      </c>
    </row>
    <row r="30" spans="1:20" s="93" customFormat="1" ht="13.5" customHeight="1">
      <c r="A30" s="538"/>
      <c r="B30" s="492"/>
      <c r="C30" s="235" t="s">
        <v>704</v>
      </c>
      <c r="D30" s="64">
        <v>0</v>
      </c>
      <c r="E30" s="49">
        <v>0</v>
      </c>
      <c r="F30" s="58">
        <v>0</v>
      </c>
      <c r="G30" s="49">
        <v>0</v>
      </c>
      <c r="H30" s="49">
        <v>0</v>
      </c>
      <c r="I30" s="49">
        <v>0</v>
      </c>
      <c r="J30" s="59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62">
        <v>0</v>
      </c>
    </row>
    <row r="31" spans="1:20" s="93" customFormat="1" ht="13.5" customHeight="1">
      <c r="A31" s="538"/>
      <c r="B31" s="491" t="s">
        <v>182</v>
      </c>
      <c r="C31" s="234" t="s">
        <v>687</v>
      </c>
      <c r="D31" s="5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</row>
    <row r="32" spans="1:20" s="93" customFormat="1" ht="13.5" customHeight="1">
      <c r="A32" s="538"/>
      <c r="B32" s="492"/>
      <c r="C32" s="124" t="s">
        <v>688</v>
      </c>
      <c r="D32" s="64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</row>
    <row r="33" spans="1:20" s="93" customFormat="1" ht="13.5" customHeight="1">
      <c r="A33" s="545"/>
      <c r="B33" s="492"/>
      <c r="C33" s="235" t="s">
        <v>689</v>
      </c>
      <c r="D33" s="270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</row>
    <row r="34" spans="1:20" s="93" customFormat="1" ht="13.5" customHeight="1">
      <c r="A34" s="541" t="s">
        <v>142</v>
      </c>
      <c r="B34" s="536" t="s">
        <v>518</v>
      </c>
      <c r="C34" s="234" t="s">
        <v>702</v>
      </c>
      <c r="D34" s="140">
        <f>SUM(D37,D40,D43,D46,D49)+SUM('表32(續12)'!D7,'表32(續12)'!D10)</f>
        <v>2373</v>
      </c>
      <c r="E34" s="56">
        <f>SUM(E37,E40,E43,E46,E49)+SUM('表32(續12)'!E7,'表32(續12)'!E10)</f>
        <v>2372</v>
      </c>
      <c r="F34" s="56">
        <f>SUM(F37,F40,F43,F46,F49)+SUM('表32(續12)'!F7,'表32(續12)'!F10)</f>
        <v>1</v>
      </c>
      <c r="G34" s="56">
        <v>32</v>
      </c>
      <c r="H34" s="56">
        <f>SUM(H37,H40,H43,H46,H49)+SUM('表32(續12)'!H7,'表32(續12)'!H10)</f>
        <v>4</v>
      </c>
      <c r="I34" s="56">
        <f>SUM(I37,I40,I43,I46,I49)+SUM('表32(續12)'!I7,'表32(續12)'!I10)</f>
        <v>105</v>
      </c>
      <c r="J34" s="56">
        <f>SUM(J37,J40,J43,J46,J49)+SUM('表32(續12)'!J7,'表32(續12)'!J10)</f>
        <v>817</v>
      </c>
      <c r="K34" s="56">
        <f>SUM(K37,K40,K43,K46,K49)+SUM('表32(續12)'!K7,'表32(續12)'!K10)</f>
        <v>706</v>
      </c>
      <c r="L34" s="56">
        <f>SUM(L37,L40,L43,L46,L49)+SUM('表32(續12)'!L7,'表32(續12)'!L10)</f>
        <v>414</v>
      </c>
      <c r="M34" s="56">
        <f>SUM(M37,M40,M43,M46,M49)+SUM('表32(續12)'!M7,'表32(續12)'!M10)</f>
        <v>224</v>
      </c>
      <c r="N34" s="56">
        <f>SUM(N37,N40,N43,N46,N49)+SUM('表32(續12)'!N7,'表32(續12)'!N10)</f>
        <v>80</v>
      </c>
      <c r="O34" s="56">
        <f>SUM(O37,O40,O43,O46,O49)+SUM('表32(續12)'!O7,'表32(續12)'!O10)</f>
        <v>18</v>
      </c>
      <c r="P34" s="56">
        <f>SUM(P37,P40,P43,P46,P49)+SUM('表32(續12)'!P7,'表32(續12)'!P10)</f>
        <v>5</v>
      </c>
      <c r="Q34" s="56">
        <f>SUM(Q37,Q40,Q43,Q46,Q49)+SUM('表32(續12)'!Q7,'表32(續12)'!Q10)</f>
        <v>236</v>
      </c>
      <c r="R34" s="56">
        <f>SUM(R37,R40,R43,R46,R49)+SUM('表32(續12)'!R7,'表32(續12)'!R10)</f>
        <v>1911</v>
      </c>
      <c r="S34" s="56">
        <f>SUM(S37,S40,S43,S46,S49)+SUM('表32(續12)'!S7,'表32(續12)'!S10)</f>
        <v>148</v>
      </c>
      <c r="T34" s="56">
        <f>SUM(T37,T40,T43,T46,T49)+SUM('表32(續12)'!T7,'表32(續12)'!T10)</f>
        <v>7</v>
      </c>
    </row>
    <row r="35" spans="1:20" s="93" customFormat="1" ht="13.5" customHeight="1">
      <c r="A35" s="542"/>
      <c r="B35" s="492"/>
      <c r="C35" s="124" t="s">
        <v>703</v>
      </c>
      <c r="D35" s="64">
        <f>SUM(D38,D41,D44,D47,D50)+SUM('表32(續12)'!D8,'表32(續12)'!D11)</f>
        <v>1918</v>
      </c>
      <c r="E35" s="49">
        <f>SUM(E38,E41,E44,E47,E50)+SUM('表32(續12)'!E8,'表32(續12)'!E11)</f>
        <v>1917</v>
      </c>
      <c r="F35" s="49">
        <f>SUM(F38,F41,F44,F47,F50)+SUM('表32(續12)'!F8,'表32(續12)'!F11)</f>
        <v>1</v>
      </c>
      <c r="G35" s="49">
        <v>32</v>
      </c>
      <c r="H35" s="49">
        <f>SUM(H38,H41,H44,H47,H50)+SUM('表32(續12)'!H8,'表32(續12)'!H11)</f>
        <v>4</v>
      </c>
      <c r="I35" s="49">
        <f>SUM(I38,I41,I44,I47,I50)+SUM('表32(續12)'!I8,'表32(續12)'!I11)</f>
        <v>63</v>
      </c>
      <c r="J35" s="49">
        <f>SUM(J38,J41,J44,J47,J50)+SUM('表32(續12)'!J8,'表32(續12)'!J11)</f>
        <v>643</v>
      </c>
      <c r="K35" s="49">
        <f>SUM(K38,K41,K44,K47,K50)+SUM('表32(續12)'!K8,'表32(續12)'!K11)</f>
        <v>576</v>
      </c>
      <c r="L35" s="49">
        <f>SUM(L38,L41,L44,L47,L50)+SUM('表32(續12)'!L8,'表32(續12)'!L11)</f>
        <v>343</v>
      </c>
      <c r="M35" s="49">
        <f>SUM(M38,M41,M44,M47,M50)+SUM('表32(續12)'!M8,'表32(續12)'!M11)</f>
        <v>195</v>
      </c>
      <c r="N35" s="49">
        <f>SUM(N38,N41,N44,N47,N50)+SUM('表32(續12)'!N8,'表32(續12)'!N11)</f>
        <v>72</v>
      </c>
      <c r="O35" s="49">
        <f>SUM(O38,O41,O44,O47,O50)+SUM('表32(續12)'!O8,'表32(續12)'!O11)</f>
        <v>17</v>
      </c>
      <c r="P35" s="49">
        <f>SUM(P38,P41,P44,P47,P50)+SUM('表32(續12)'!P8,'表32(續12)'!P11)</f>
        <v>5</v>
      </c>
      <c r="Q35" s="49">
        <f>SUM(Q38,Q41,Q44,Q47,Q50)+SUM('表32(續12)'!Q8,'表32(續12)'!Q11)</f>
        <v>202</v>
      </c>
      <c r="R35" s="49">
        <f>SUM(R38,R41,R44,R47,R50)+SUM('表32(續12)'!R8,'表32(續12)'!R11)</f>
        <v>1499</v>
      </c>
      <c r="S35" s="49">
        <f>SUM(S38,S41,S44,S47,S50)+SUM('表32(續12)'!S8,'表32(續12)'!S11)</f>
        <v>139</v>
      </c>
      <c r="T35" s="49">
        <f>SUM(T38,T41,T44,T47,T50)+SUM('表32(續12)'!T8,'表32(續12)'!T11)</f>
        <v>7</v>
      </c>
    </row>
    <row r="36" spans="1:20" s="93" customFormat="1" ht="13.5" customHeight="1">
      <c r="A36" s="542"/>
      <c r="B36" s="492"/>
      <c r="C36" s="235" t="s">
        <v>704</v>
      </c>
      <c r="D36" s="64">
        <f>SUM(D39,D42,D45,D48,D51)+SUM('表32(續12)'!D9,'表32(續12)'!D12)</f>
        <v>455</v>
      </c>
      <c r="E36" s="49">
        <f>SUM(E39,E42,E45,E48,E51)+SUM('表32(續12)'!E9,'表32(續12)'!E12)</f>
        <v>455</v>
      </c>
      <c r="F36" s="49">
        <f>SUM(F39,F42,F45,F48,F51)+SUM('表32(續12)'!F9,'表32(續12)'!F12)</f>
        <v>0</v>
      </c>
      <c r="G36" s="49">
        <f>(SUM(G39,G42,G45,G48,G51)+SUM('表32(續12)'!G9,'表32(續12)'!G12))/4</f>
        <v>31</v>
      </c>
      <c r="H36" s="49">
        <f>SUM(H39,H42,H45,H48,H51)+SUM('表32(續12)'!H9,'表32(續12)'!H12)</f>
        <v>0</v>
      </c>
      <c r="I36" s="49">
        <f>SUM(I39,I42,I45,I48,I51)+SUM('表32(續12)'!I9,'表32(續12)'!I12)</f>
        <v>42</v>
      </c>
      <c r="J36" s="49">
        <f>SUM(J39,J42,J45,J48,J51)+SUM('表32(續12)'!J9,'表32(續12)'!J12)</f>
        <v>174</v>
      </c>
      <c r="K36" s="49">
        <f>SUM(K39,K42,K45,K48,K51)+SUM('表32(續12)'!K9,'表32(續12)'!K12)</f>
        <v>130</v>
      </c>
      <c r="L36" s="49">
        <f>SUM(L39,L42,L45,L48,L51)+SUM('表32(續12)'!L9,'表32(續12)'!L12)</f>
        <v>71</v>
      </c>
      <c r="M36" s="49">
        <f>SUM(M39,M42,M45,M48,M51)+SUM('表32(續12)'!M9,'表32(續12)'!M12)</f>
        <v>29</v>
      </c>
      <c r="N36" s="49">
        <f>SUM(N39,N42,N45,N48,N51)+SUM('表32(續12)'!N9,'表32(續12)'!N12)</f>
        <v>8</v>
      </c>
      <c r="O36" s="49">
        <f>SUM(O39,O42,O45,O48,O51)+SUM('表32(續12)'!O9,'表32(續12)'!O12)</f>
        <v>1</v>
      </c>
      <c r="P36" s="49">
        <f>SUM(P39,P42,P45,P48,P51)+SUM('表32(續12)'!P9,'表32(續12)'!P12)</f>
        <v>0</v>
      </c>
      <c r="Q36" s="49">
        <f>SUM(Q39,Q42,Q45,Q48,Q51)+SUM('表32(續12)'!Q9,'表32(續12)'!Q12)</f>
        <v>34</v>
      </c>
      <c r="R36" s="49">
        <f>SUM(R39,R42,R45,R48,R51)+SUM('表32(續12)'!R9,'表32(續12)'!R12)</f>
        <v>412</v>
      </c>
      <c r="S36" s="49">
        <f>SUM(S39,S42,S45,S48,S51)+SUM('表32(續12)'!S9,'表32(續12)'!S12)</f>
        <v>9</v>
      </c>
      <c r="T36" s="49">
        <f>SUM(T39,T42,T45,T48,T51)+SUM('表32(續12)'!T9,'表32(續12)'!T12)</f>
        <v>0</v>
      </c>
    </row>
    <row r="37" spans="1:20" s="93" customFormat="1" ht="13.5" customHeight="1">
      <c r="A37" s="542"/>
      <c r="B37" s="491" t="s">
        <v>519</v>
      </c>
      <c r="C37" s="234" t="s">
        <v>702</v>
      </c>
      <c r="D37" s="54">
        <v>1</v>
      </c>
      <c r="E37" s="55">
        <v>1</v>
      </c>
      <c r="F37" s="55">
        <v>0</v>
      </c>
      <c r="G37" s="55">
        <v>31</v>
      </c>
      <c r="H37" s="55">
        <v>0</v>
      </c>
      <c r="I37" s="55">
        <v>0</v>
      </c>
      <c r="J37" s="55">
        <v>0</v>
      </c>
      <c r="K37" s="55">
        <v>1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</row>
    <row r="38" spans="1:20" s="93" customFormat="1" ht="13.5" customHeight="1">
      <c r="A38" s="542"/>
      <c r="B38" s="492"/>
      <c r="C38" s="124" t="s">
        <v>703</v>
      </c>
      <c r="D38" s="64">
        <v>1</v>
      </c>
      <c r="E38" s="49">
        <v>1</v>
      </c>
      <c r="F38" s="58">
        <v>0</v>
      </c>
      <c r="G38" s="49">
        <v>31</v>
      </c>
      <c r="H38" s="49">
        <v>0</v>
      </c>
      <c r="I38" s="49">
        <v>0</v>
      </c>
      <c r="J38" s="59">
        <v>0</v>
      </c>
      <c r="K38" s="58">
        <v>1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</row>
    <row r="39" spans="1:20" s="93" customFormat="1" ht="13.5" customHeight="1">
      <c r="A39" s="542"/>
      <c r="B39" s="492"/>
      <c r="C39" s="235" t="s">
        <v>704</v>
      </c>
      <c r="D39" s="64">
        <v>0</v>
      </c>
      <c r="E39" s="49">
        <v>0</v>
      </c>
      <c r="F39" s="58">
        <v>0</v>
      </c>
      <c r="G39" s="49">
        <v>0</v>
      </c>
      <c r="H39" s="49">
        <v>0</v>
      </c>
      <c r="I39" s="49">
        <v>0</v>
      </c>
      <c r="J39" s="59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</row>
    <row r="40" spans="1:20" s="93" customFormat="1" ht="13.5" customHeight="1">
      <c r="A40" s="542"/>
      <c r="B40" s="491" t="s">
        <v>520</v>
      </c>
      <c r="C40" s="234" t="s">
        <v>702</v>
      </c>
      <c r="D40" s="54">
        <v>70</v>
      </c>
      <c r="E40" s="55">
        <v>70</v>
      </c>
      <c r="F40" s="55">
        <v>0</v>
      </c>
      <c r="G40" s="55">
        <v>30</v>
      </c>
      <c r="H40" s="55">
        <v>0</v>
      </c>
      <c r="I40" s="55">
        <v>3</v>
      </c>
      <c r="J40" s="55">
        <v>28</v>
      </c>
      <c r="K40" s="55">
        <v>29</v>
      </c>
      <c r="L40" s="55">
        <v>10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</row>
    <row r="41" spans="1:20" s="93" customFormat="1" ht="13.5" customHeight="1">
      <c r="A41" s="542"/>
      <c r="B41" s="492"/>
      <c r="C41" s="124" t="s">
        <v>703</v>
      </c>
      <c r="D41" s="64">
        <v>70</v>
      </c>
      <c r="E41" s="49">
        <v>70</v>
      </c>
      <c r="F41" s="58">
        <v>0</v>
      </c>
      <c r="G41" s="49">
        <v>30</v>
      </c>
      <c r="H41" s="49">
        <v>0</v>
      </c>
      <c r="I41" s="49">
        <v>3</v>
      </c>
      <c r="J41" s="59">
        <v>28</v>
      </c>
      <c r="K41" s="58">
        <v>29</v>
      </c>
      <c r="L41" s="58">
        <v>10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</row>
    <row r="42" spans="1:20" s="93" customFormat="1" ht="13.5" customHeight="1">
      <c r="A42" s="542"/>
      <c r="B42" s="493"/>
      <c r="C42" s="235" t="s">
        <v>704</v>
      </c>
      <c r="D42" s="64">
        <v>0</v>
      </c>
      <c r="E42" s="49">
        <v>0</v>
      </c>
      <c r="F42" s="58">
        <v>0</v>
      </c>
      <c r="G42" s="49">
        <v>0</v>
      </c>
      <c r="H42" s="49">
        <v>0</v>
      </c>
      <c r="I42" s="49">
        <v>0</v>
      </c>
      <c r="J42" s="59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</row>
    <row r="43" spans="1:20" s="93" customFormat="1" ht="13.5" customHeight="1">
      <c r="A43" s="542"/>
      <c r="B43" s="494" t="s">
        <v>522</v>
      </c>
      <c r="C43" s="234" t="s">
        <v>702</v>
      </c>
      <c r="D43" s="54">
        <v>1</v>
      </c>
      <c r="E43" s="55">
        <v>1</v>
      </c>
      <c r="F43" s="55">
        <v>0</v>
      </c>
      <c r="G43" s="55">
        <v>27</v>
      </c>
      <c r="H43" s="55">
        <v>0</v>
      </c>
      <c r="I43" s="55">
        <v>0</v>
      </c>
      <c r="J43" s="55">
        <v>1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1</v>
      </c>
      <c r="S43" s="55">
        <v>0</v>
      </c>
      <c r="T43" s="55">
        <v>0</v>
      </c>
    </row>
    <row r="44" spans="1:20" s="93" customFormat="1" ht="13.5" customHeight="1">
      <c r="A44" s="556" t="s">
        <v>749</v>
      </c>
      <c r="B44" s="494"/>
      <c r="C44" s="124" t="s">
        <v>703</v>
      </c>
      <c r="D44" s="64">
        <v>1</v>
      </c>
      <c r="E44" s="49">
        <v>1</v>
      </c>
      <c r="F44" s="58">
        <v>0</v>
      </c>
      <c r="G44" s="49">
        <v>27</v>
      </c>
      <c r="H44" s="49">
        <v>0</v>
      </c>
      <c r="I44" s="49">
        <v>0</v>
      </c>
      <c r="J44" s="59">
        <v>1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1</v>
      </c>
      <c r="S44" s="58">
        <v>0</v>
      </c>
      <c r="T44" s="62">
        <v>0</v>
      </c>
    </row>
    <row r="45" spans="1:20" s="93" customFormat="1" ht="13.5" customHeight="1">
      <c r="A45" s="538"/>
      <c r="B45" s="494"/>
      <c r="C45" s="235" t="s">
        <v>704</v>
      </c>
      <c r="D45" s="64">
        <v>0</v>
      </c>
      <c r="E45" s="49">
        <v>0</v>
      </c>
      <c r="F45" s="58">
        <v>0</v>
      </c>
      <c r="G45" s="49">
        <v>0</v>
      </c>
      <c r="H45" s="49">
        <v>0</v>
      </c>
      <c r="I45" s="49">
        <v>0</v>
      </c>
      <c r="J45" s="59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62">
        <v>0</v>
      </c>
    </row>
    <row r="46" spans="1:20" s="93" customFormat="1" ht="13.5" customHeight="1">
      <c r="A46" s="538"/>
      <c r="B46" s="507" t="s">
        <v>534</v>
      </c>
      <c r="C46" s="234" t="s">
        <v>702</v>
      </c>
      <c r="D46" s="54">
        <f>SUM(D47:D48)</f>
        <v>808</v>
      </c>
      <c r="E46" s="55">
        <f aca="true" t="shared" si="8" ref="E46:T46">SUM(E47:E48)</f>
        <v>808</v>
      </c>
      <c r="F46" s="55">
        <f t="shared" si="8"/>
        <v>0</v>
      </c>
      <c r="G46" s="55">
        <v>32</v>
      </c>
      <c r="H46" s="55">
        <f t="shared" si="8"/>
        <v>3</v>
      </c>
      <c r="I46" s="55">
        <f t="shared" si="8"/>
        <v>47</v>
      </c>
      <c r="J46" s="55">
        <f t="shared" si="8"/>
        <v>275</v>
      </c>
      <c r="K46" s="55">
        <f t="shared" si="8"/>
        <v>221</v>
      </c>
      <c r="L46" s="55">
        <f t="shared" si="8"/>
        <v>160</v>
      </c>
      <c r="M46" s="55">
        <f t="shared" si="8"/>
        <v>75</v>
      </c>
      <c r="N46" s="55">
        <f t="shared" si="8"/>
        <v>21</v>
      </c>
      <c r="O46" s="55">
        <f t="shared" si="8"/>
        <v>3</v>
      </c>
      <c r="P46" s="55">
        <f t="shared" si="8"/>
        <v>3</v>
      </c>
      <c r="Q46" s="55">
        <f t="shared" si="8"/>
        <v>16</v>
      </c>
      <c r="R46" s="55">
        <f t="shared" si="8"/>
        <v>727</v>
      </c>
      <c r="S46" s="55">
        <f t="shared" si="8"/>
        <v>64</v>
      </c>
      <c r="T46" s="55">
        <f t="shared" si="8"/>
        <v>1</v>
      </c>
    </row>
    <row r="47" spans="1:21" s="93" customFormat="1" ht="13.5" customHeight="1">
      <c r="A47" s="538"/>
      <c r="B47" s="516"/>
      <c r="C47" s="124" t="s">
        <v>703</v>
      </c>
      <c r="D47" s="64">
        <v>659</v>
      </c>
      <c r="E47" s="49">
        <v>659</v>
      </c>
      <c r="F47" s="58">
        <v>0</v>
      </c>
      <c r="G47" s="49">
        <v>32</v>
      </c>
      <c r="H47" s="49">
        <v>3</v>
      </c>
      <c r="I47" s="49">
        <v>26</v>
      </c>
      <c r="J47" s="59">
        <v>221</v>
      </c>
      <c r="K47" s="58">
        <v>184</v>
      </c>
      <c r="L47" s="58">
        <v>138</v>
      </c>
      <c r="M47" s="58">
        <v>64</v>
      </c>
      <c r="N47" s="58">
        <v>18</v>
      </c>
      <c r="O47" s="58">
        <v>2</v>
      </c>
      <c r="P47" s="58">
        <v>3</v>
      </c>
      <c r="Q47" s="58">
        <v>15</v>
      </c>
      <c r="R47" s="58">
        <v>583</v>
      </c>
      <c r="S47" s="58">
        <v>60</v>
      </c>
      <c r="T47" s="62">
        <v>1</v>
      </c>
      <c r="U47" s="94"/>
    </row>
    <row r="48" spans="1:21" s="93" customFormat="1" ht="13.5" customHeight="1">
      <c r="A48" s="538"/>
      <c r="B48" s="517"/>
      <c r="C48" s="235" t="s">
        <v>704</v>
      </c>
      <c r="D48" s="64">
        <v>149</v>
      </c>
      <c r="E48" s="49">
        <v>149</v>
      </c>
      <c r="F48" s="58">
        <v>0</v>
      </c>
      <c r="G48" s="49">
        <v>30</v>
      </c>
      <c r="H48" s="49">
        <v>0</v>
      </c>
      <c r="I48" s="49">
        <v>21</v>
      </c>
      <c r="J48" s="59">
        <v>54</v>
      </c>
      <c r="K48" s="58">
        <v>37</v>
      </c>
      <c r="L48" s="58">
        <v>22</v>
      </c>
      <c r="M48" s="58">
        <v>11</v>
      </c>
      <c r="N48" s="58">
        <v>3</v>
      </c>
      <c r="O48" s="58">
        <v>1</v>
      </c>
      <c r="P48" s="58">
        <v>0</v>
      </c>
      <c r="Q48" s="58">
        <v>1</v>
      </c>
      <c r="R48" s="58">
        <v>144</v>
      </c>
      <c r="S48" s="58">
        <v>4</v>
      </c>
      <c r="T48" s="62">
        <v>0</v>
      </c>
      <c r="U48" s="94"/>
    </row>
    <row r="49" spans="1:20" s="93" customFormat="1" ht="13.5" customHeight="1">
      <c r="A49" s="538"/>
      <c r="B49" s="491" t="s">
        <v>535</v>
      </c>
      <c r="C49" s="234" t="s">
        <v>702</v>
      </c>
      <c r="D49" s="54">
        <f>SUM(D50:D51)</f>
        <v>52</v>
      </c>
      <c r="E49" s="55">
        <f aca="true" t="shared" si="9" ref="E49:T49">SUM(E50:E51)</f>
        <v>51</v>
      </c>
      <c r="F49" s="55">
        <f t="shared" si="9"/>
        <v>1</v>
      </c>
      <c r="G49" s="55">
        <f>SUM(G50:G51)/2</f>
        <v>32.5</v>
      </c>
      <c r="H49" s="55">
        <f t="shared" si="9"/>
        <v>0</v>
      </c>
      <c r="I49" s="55">
        <f t="shared" si="9"/>
        <v>2</v>
      </c>
      <c r="J49" s="55">
        <f t="shared" si="9"/>
        <v>12</v>
      </c>
      <c r="K49" s="55">
        <f t="shared" si="9"/>
        <v>18</v>
      </c>
      <c r="L49" s="55">
        <f t="shared" si="9"/>
        <v>13</v>
      </c>
      <c r="M49" s="55">
        <f t="shared" si="9"/>
        <v>6</v>
      </c>
      <c r="N49" s="55">
        <f t="shared" si="9"/>
        <v>1</v>
      </c>
      <c r="O49" s="55">
        <f t="shared" si="9"/>
        <v>0</v>
      </c>
      <c r="P49" s="55">
        <f t="shared" si="9"/>
        <v>0</v>
      </c>
      <c r="Q49" s="55">
        <f t="shared" si="9"/>
        <v>5</v>
      </c>
      <c r="R49" s="55">
        <f t="shared" si="9"/>
        <v>47</v>
      </c>
      <c r="S49" s="55">
        <f t="shared" si="9"/>
        <v>0</v>
      </c>
      <c r="T49" s="55">
        <f t="shared" si="9"/>
        <v>0</v>
      </c>
    </row>
    <row r="50" spans="1:21" s="93" customFormat="1" ht="13.5" customHeight="1">
      <c r="A50" s="538"/>
      <c r="B50" s="492"/>
      <c r="C50" s="124" t="s">
        <v>703</v>
      </c>
      <c r="D50" s="64">
        <v>36</v>
      </c>
      <c r="E50" s="49">
        <v>35</v>
      </c>
      <c r="F50" s="49">
        <v>1</v>
      </c>
      <c r="G50" s="49">
        <v>33</v>
      </c>
      <c r="H50" s="49">
        <v>0</v>
      </c>
      <c r="I50" s="49">
        <v>2</v>
      </c>
      <c r="J50" s="49">
        <v>8</v>
      </c>
      <c r="K50" s="49">
        <v>10</v>
      </c>
      <c r="L50" s="49">
        <v>10</v>
      </c>
      <c r="M50" s="49">
        <v>5</v>
      </c>
      <c r="N50" s="49">
        <v>1</v>
      </c>
      <c r="O50" s="49">
        <v>0</v>
      </c>
      <c r="P50" s="49">
        <v>0</v>
      </c>
      <c r="Q50" s="49">
        <v>4</v>
      </c>
      <c r="R50" s="49">
        <v>32</v>
      </c>
      <c r="S50" s="49">
        <v>0</v>
      </c>
      <c r="T50" s="49">
        <v>0</v>
      </c>
      <c r="U50" s="94"/>
    </row>
    <row r="51" spans="1:21" s="93" customFormat="1" ht="13.5" customHeight="1">
      <c r="A51" s="538"/>
      <c r="B51" s="493"/>
      <c r="C51" s="124" t="s">
        <v>704</v>
      </c>
      <c r="D51" s="64">
        <v>16</v>
      </c>
      <c r="E51" s="49">
        <v>16</v>
      </c>
      <c r="F51" s="49">
        <v>0</v>
      </c>
      <c r="G51" s="49">
        <v>32</v>
      </c>
      <c r="H51" s="49">
        <v>0</v>
      </c>
      <c r="I51" s="49">
        <v>0</v>
      </c>
      <c r="J51" s="49">
        <v>4</v>
      </c>
      <c r="K51" s="49">
        <v>8</v>
      </c>
      <c r="L51" s="49">
        <v>3</v>
      </c>
      <c r="M51" s="49">
        <v>1</v>
      </c>
      <c r="N51" s="49">
        <v>0</v>
      </c>
      <c r="O51" s="49">
        <v>0</v>
      </c>
      <c r="P51" s="49">
        <v>0</v>
      </c>
      <c r="Q51" s="49">
        <v>1</v>
      </c>
      <c r="R51" s="49">
        <v>15</v>
      </c>
      <c r="S51" s="49">
        <v>0</v>
      </c>
      <c r="T51" s="49">
        <v>0</v>
      </c>
      <c r="U51" s="94"/>
    </row>
    <row r="52" s="85" customFormat="1" ht="13.5" customHeight="1">
      <c r="A52" s="268"/>
    </row>
    <row r="53" s="85" customFormat="1" ht="13.5" customHeight="1">
      <c r="A53" s="268"/>
    </row>
    <row r="54" s="85" customFormat="1" ht="14.25" customHeight="1"/>
    <row r="55" spans="1:20" s="85" customFormat="1" ht="21" customHeight="1">
      <c r="A55" s="535" t="str">
        <f>"- "&amp;Sheet1!X33&amp;" -"</f>
        <v>- 216 -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"&amp;Sheet1!Y33&amp;" -"</f>
        <v>- 217 -</v>
      </c>
      <c r="L55" s="535"/>
      <c r="M55" s="535"/>
      <c r="N55" s="535"/>
      <c r="O55" s="535"/>
      <c r="P55" s="535"/>
      <c r="Q55" s="535"/>
      <c r="R55" s="535"/>
      <c r="S55" s="535"/>
      <c r="T55" s="535"/>
    </row>
    <row r="56" s="85" customFormat="1" ht="13.5" customHeight="1"/>
    <row r="57" s="85" customFormat="1" ht="13.5" customHeight="1"/>
    <row r="58" s="85" customFormat="1" ht="13.5" customHeight="1"/>
    <row r="59" s="85" customFormat="1" ht="13.5" customHeight="1"/>
    <row r="60" s="85" customFormat="1" ht="13.5" customHeight="1"/>
    <row r="61" s="93" customFormat="1" ht="13.5" customHeight="1"/>
    <row r="62" s="93" customFormat="1" ht="13.5" customHeight="1"/>
    <row r="63" s="93" customFormat="1" ht="13.5" customHeight="1"/>
    <row r="64" s="93" customFormat="1" ht="13.5" customHeight="1"/>
    <row r="65" s="93" customFormat="1" ht="13.5" customHeight="1"/>
    <row r="66" s="93" customFormat="1" ht="13.5" customHeight="1"/>
    <row r="70" spans="1:20" ht="15.75">
      <c r="A70" s="63"/>
      <c r="B70" s="63"/>
      <c r="C70" s="63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</sheetData>
  <sheetProtection/>
  <mergeCells count="36">
    <mergeCell ref="A7:A9"/>
    <mergeCell ref="A44:A51"/>
    <mergeCell ref="B10:B12"/>
    <mergeCell ref="B13:B15"/>
    <mergeCell ref="B16:B18"/>
    <mergeCell ref="B19:B21"/>
    <mergeCell ref="B40:B42"/>
    <mergeCell ref="B34:B36"/>
    <mergeCell ref="A25:A33"/>
    <mergeCell ref="B37:B39"/>
    <mergeCell ref="K5:P5"/>
    <mergeCell ref="A14:A18"/>
    <mergeCell ref="A10:A13"/>
    <mergeCell ref="K55:T55"/>
    <mergeCell ref="A55:J55"/>
    <mergeCell ref="B46:B48"/>
    <mergeCell ref="B49:B51"/>
    <mergeCell ref="A34:A43"/>
    <mergeCell ref="A19:A24"/>
    <mergeCell ref="B43:B45"/>
    <mergeCell ref="B22:B24"/>
    <mergeCell ref="B25:B27"/>
    <mergeCell ref="H5:J5"/>
    <mergeCell ref="B31:B33"/>
    <mergeCell ref="B28:B30"/>
    <mergeCell ref="B7:B9"/>
    <mergeCell ref="K1:T1"/>
    <mergeCell ref="D5:D6"/>
    <mergeCell ref="Q5:T5"/>
    <mergeCell ref="E5:E6"/>
    <mergeCell ref="F5:F6"/>
    <mergeCell ref="A1:J1"/>
    <mergeCell ref="A5:C6"/>
    <mergeCell ref="C3:I3"/>
    <mergeCell ref="L3:S3"/>
    <mergeCell ref="G5:G6"/>
  </mergeCells>
  <printOptions/>
  <pageMargins left="0.6299212598425197" right="0.3937007874015748" top="0.5511811023622047" bottom="0" header="0.5118110236220472" footer="0.7086614173228347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S66"/>
  <sheetViews>
    <sheetView view="pageLayout" zoomScaleSheetLayoutView="85" workbookViewId="0" topLeftCell="A37">
      <selection activeCell="A55" sqref="A55:J55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75390625" style="89" customWidth="1"/>
    <col min="18" max="18" width="9.875" style="89" customWidth="1"/>
    <col min="19" max="19" width="8.75390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574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222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712</v>
      </c>
      <c r="K3" s="61"/>
      <c r="L3" s="461" t="s">
        <v>517</v>
      </c>
      <c r="M3" s="461"/>
      <c r="N3" s="461"/>
      <c r="O3" s="461"/>
      <c r="P3" s="461"/>
      <c r="Q3" s="461"/>
      <c r="R3" s="461"/>
      <c r="S3" s="461"/>
      <c r="T3" s="138" t="s">
        <v>697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713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27"/>
      <c r="E6" s="527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700</v>
      </c>
      <c r="R6" s="117" t="s">
        <v>708</v>
      </c>
      <c r="S6" s="117" t="s">
        <v>701</v>
      </c>
      <c r="T6" s="120" t="s">
        <v>711</v>
      </c>
    </row>
    <row r="7" spans="1:45" s="93" customFormat="1" ht="13.5" customHeight="1">
      <c r="A7" s="541" t="s">
        <v>142</v>
      </c>
      <c r="B7" s="536" t="s">
        <v>597</v>
      </c>
      <c r="C7" s="234" t="s">
        <v>687</v>
      </c>
      <c r="D7" s="140">
        <f>SUM(D8:D9)</f>
        <v>446</v>
      </c>
      <c r="E7" s="56">
        <f aca="true" t="shared" si="0" ref="E7:T7">SUM(E8:E9)</f>
        <v>446</v>
      </c>
      <c r="F7" s="55">
        <f t="shared" si="0"/>
        <v>0</v>
      </c>
      <c r="G7" s="56">
        <f>SUM(G8:G9)/2</f>
        <v>31</v>
      </c>
      <c r="H7" s="56">
        <f t="shared" si="0"/>
        <v>0</v>
      </c>
      <c r="I7" s="56">
        <f t="shared" si="0"/>
        <v>17</v>
      </c>
      <c r="J7" s="56">
        <f t="shared" si="0"/>
        <v>179</v>
      </c>
      <c r="K7" s="56">
        <f t="shared" si="0"/>
        <v>139</v>
      </c>
      <c r="L7" s="56">
        <f t="shared" si="0"/>
        <v>62</v>
      </c>
      <c r="M7" s="56">
        <f t="shared" si="0"/>
        <v>34</v>
      </c>
      <c r="N7" s="56">
        <f t="shared" si="0"/>
        <v>13</v>
      </c>
      <c r="O7" s="56">
        <f t="shared" si="0"/>
        <v>2</v>
      </c>
      <c r="P7" s="56">
        <f t="shared" si="0"/>
        <v>0</v>
      </c>
      <c r="Q7" s="56">
        <f t="shared" si="0"/>
        <v>63</v>
      </c>
      <c r="R7" s="56">
        <f t="shared" si="0"/>
        <v>361</v>
      </c>
      <c r="S7" s="56">
        <f t="shared" si="0"/>
        <v>21</v>
      </c>
      <c r="T7" s="55">
        <f t="shared" si="0"/>
        <v>1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492"/>
      <c r="C8" s="124" t="s">
        <v>688</v>
      </c>
      <c r="D8" s="24">
        <v>396</v>
      </c>
      <c r="E8" s="10">
        <v>396</v>
      </c>
      <c r="F8" s="10">
        <v>0</v>
      </c>
      <c r="G8" s="10">
        <v>31</v>
      </c>
      <c r="H8" s="10">
        <v>0</v>
      </c>
      <c r="I8" s="10">
        <v>12</v>
      </c>
      <c r="J8" s="10">
        <v>162</v>
      </c>
      <c r="K8" s="10">
        <v>126</v>
      </c>
      <c r="L8" s="10">
        <v>50</v>
      </c>
      <c r="M8" s="10">
        <v>31</v>
      </c>
      <c r="N8" s="10">
        <v>13</v>
      </c>
      <c r="O8" s="10">
        <v>2</v>
      </c>
      <c r="P8" s="10">
        <v>0</v>
      </c>
      <c r="Q8" s="10">
        <v>55</v>
      </c>
      <c r="R8" s="10">
        <v>319</v>
      </c>
      <c r="S8" s="10">
        <v>21</v>
      </c>
      <c r="T8" s="10">
        <v>1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493"/>
      <c r="C9" s="235" t="s">
        <v>689</v>
      </c>
      <c r="D9" s="24">
        <v>50</v>
      </c>
      <c r="E9" s="10">
        <v>50</v>
      </c>
      <c r="F9" s="10">
        <v>0</v>
      </c>
      <c r="G9" s="10">
        <v>31</v>
      </c>
      <c r="H9" s="10">
        <v>0</v>
      </c>
      <c r="I9" s="10">
        <v>5</v>
      </c>
      <c r="J9" s="10">
        <v>17</v>
      </c>
      <c r="K9" s="10">
        <v>13</v>
      </c>
      <c r="L9" s="10">
        <v>12</v>
      </c>
      <c r="M9" s="10">
        <v>3</v>
      </c>
      <c r="N9" s="10">
        <v>0</v>
      </c>
      <c r="O9" s="10">
        <v>0</v>
      </c>
      <c r="P9" s="10">
        <v>0</v>
      </c>
      <c r="Q9" s="10">
        <v>8</v>
      </c>
      <c r="R9" s="10">
        <v>42</v>
      </c>
      <c r="S9" s="10">
        <v>0</v>
      </c>
      <c r="T9" s="10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s="93" customFormat="1" ht="13.5" customHeight="1">
      <c r="A10" s="548" t="s">
        <v>144</v>
      </c>
      <c r="B10" s="536" t="s">
        <v>143</v>
      </c>
      <c r="C10" s="141" t="s">
        <v>687</v>
      </c>
      <c r="D10" s="55">
        <f>SUM(D11:D12)</f>
        <v>995</v>
      </c>
      <c r="E10" s="55">
        <f aca="true" t="shared" si="1" ref="E10:T10">SUM(E11:E12)</f>
        <v>995</v>
      </c>
      <c r="F10" s="55">
        <f t="shared" si="1"/>
        <v>0</v>
      </c>
      <c r="G10" s="55">
        <v>32</v>
      </c>
      <c r="H10" s="55">
        <f t="shared" si="1"/>
        <v>1</v>
      </c>
      <c r="I10" s="55">
        <f t="shared" si="1"/>
        <v>36</v>
      </c>
      <c r="J10" s="55">
        <f t="shared" si="1"/>
        <v>322</v>
      </c>
      <c r="K10" s="55">
        <f t="shared" si="1"/>
        <v>298</v>
      </c>
      <c r="L10" s="55">
        <f t="shared" si="1"/>
        <v>169</v>
      </c>
      <c r="M10" s="55">
        <f t="shared" si="1"/>
        <v>109</v>
      </c>
      <c r="N10" s="55">
        <f t="shared" si="1"/>
        <v>45</v>
      </c>
      <c r="O10" s="55">
        <f t="shared" si="1"/>
        <v>13</v>
      </c>
      <c r="P10" s="55">
        <f t="shared" si="1"/>
        <v>2</v>
      </c>
      <c r="Q10" s="55">
        <f t="shared" si="1"/>
        <v>152</v>
      </c>
      <c r="R10" s="55">
        <f t="shared" si="1"/>
        <v>775</v>
      </c>
      <c r="S10" s="55">
        <f t="shared" si="1"/>
        <v>63</v>
      </c>
      <c r="T10" s="55">
        <f t="shared" si="1"/>
        <v>5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s="93" customFormat="1" ht="13.5" customHeight="1">
      <c r="A11" s="548"/>
      <c r="B11" s="492"/>
      <c r="C11" s="143" t="s">
        <v>688</v>
      </c>
      <c r="D11" s="10">
        <v>755</v>
      </c>
      <c r="E11" s="10">
        <v>755</v>
      </c>
      <c r="F11" s="10">
        <v>0</v>
      </c>
      <c r="G11" s="10">
        <v>33</v>
      </c>
      <c r="H11" s="10">
        <v>1</v>
      </c>
      <c r="I11" s="10">
        <v>20</v>
      </c>
      <c r="J11" s="10">
        <v>223</v>
      </c>
      <c r="K11" s="10">
        <v>226</v>
      </c>
      <c r="L11" s="10">
        <v>135</v>
      </c>
      <c r="M11" s="10">
        <v>95</v>
      </c>
      <c r="N11" s="10">
        <v>40</v>
      </c>
      <c r="O11" s="10">
        <v>13</v>
      </c>
      <c r="P11" s="10">
        <v>2</v>
      </c>
      <c r="Q11" s="10">
        <v>128</v>
      </c>
      <c r="R11" s="10">
        <v>564</v>
      </c>
      <c r="S11" s="10">
        <v>58</v>
      </c>
      <c r="T11" s="10">
        <v>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s="93" customFormat="1" ht="13.5" customHeight="1">
      <c r="A12" s="548"/>
      <c r="B12" s="493"/>
      <c r="C12" s="143" t="s">
        <v>689</v>
      </c>
      <c r="D12" s="10">
        <v>240</v>
      </c>
      <c r="E12" s="10">
        <v>240</v>
      </c>
      <c r="F12" s="10">
        <v>0</v>
      </c>
      <c r="G12" s="10">
        <v>31</v>
      </c>
      <c r="H12" s="10">
        <v>0</v>
      </c>
      <c r="I12" s="10">
        <v>16</v>
      </c>
      <c r="J12" s="10">
        <v>99</v>
      </c>
      <c r="K12" s="10">
        <v>72</v>
      </c>
      <c r="L12" s="10">
        <v>34</v>
      </c>
      <c r="M12" s="10">
        <v>14</v>
      </c>
      <c r="N12" s="10">
        <v>5</v>
      </c>
      <c r="O12" s="10">
        <v>0</v>
      </c>
      <c r="P12" s="10">
        <v>0</v>
      </c>
      <c r="Q12" s="10">
        <v>24</v>
      </c>
      <c r="R12" s="10">
        <v>211</v>
      </c>
      <c r="S12" s="10">
        <v>5</v>
      </c>
      <c r="T12" s="10"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s="93" customFormat="1" ht="13.5" customHeight="1">
      <c r="A13" s="541" t="s">
        <v>572</v>
      </c>
      <c r="B13" s="536" t="s">
        <v>137</v>
      </c>
      <c r="C13" s="141" t="s">
        <v>687</v>
      </c>
      <c r="D13" s="56">
        <f>SUM(D16,D19,D22,D25,D28,D31,D34,D37)</f>
        <v>483</v>
      </c>
      <c r="E13" s="56">
        <f aca="true" t="shared" si="2" ref="D13:F15">SUM(E16,E19,E22,E25,E28,E31,E34,E37)</f>
        <v>483</v>
      </c>
      <c r="F13" s="56">
        <f t="shared" si="2"/>
        <v>0</v>
      </c>
      <c r="G13" s="56">
        <v>31</v>
      </c>
      <c r="H13" s="56">
        <f aca="true" t="shared" si="3" ref="H13:T13">SUM(H16,H19,H22,H25,H28,H31,H34,H37)</f>
        <v>0</v>
      </c>
      <c r="I13" s="56">
        <f t="shared" si="3"/>
        <v>16</v>
      </c>
      <c r="J13" s="56">
        <f t="shared" si="3"/>
        <v>137</v>
      </c>
      <c r="K13" s="56">
        <f t="shared" si="3"/>
        <v>158</v>
      </c>
      <c r="L13" s="56">
        <f t="shared" si="3"/>
        <v>87</v>
      </c>
      <c r="M13" s="56">
        <f t="shared" si="3"/>
        <v>55</v>
      </c>
      <c r="N13" s="56">
        <f t="shared" si="3"/>
        <v>16</v>
      </c>
      <c r="O13" s="56">
        <f t="shared" si="3"/>
        <v>10</v>
      </c>
      <c r="P13" s="56">
        <f t="shared" si="3"/>
        <v>4</v>
      </c>
      <c r="Q13" s="56">
        <f t="shared" si="3"/>
        <v>19</v>
      </c>
      <c r="R13" s="56">
        <f t="shared" si="3"/>
        <v>242</v>
      </c>
      <c r="S13" s="56">
        <f t="shared" si="3"/>
        <v>36</v>
      </c>
      <c r="T13" s="56">
        <f t="shared" si="3"/>
        <v>1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s="93" customFormat="1" ht="13.5" customHeight="1">
      <c r="A14" s="542"/>
      <c r="B14" s="492"/>
      <c r="C14" s="124" t="s">
        <v>688</v>
      </c>
      <c r="D14" s="24">
        <f t="shared" si="2"/>
        <v>384</v>
      </c>
      <c r="E14" s="10">
        <f t="shared" si="2"/>
        <v>384</v>
      </c>
      <c r="F14" s="10">
        <f t="shared" si="2"/>
        <v>0</v>
      </c>
      <c r="G14" s="10">
        <v>32</v>
      </c>
      <c r="H14" s="10">
        <f aca="true" t="shared" si="4" ref="H14:T14">SUM(H17,H20,H23,H26,H29,H32,H35,H38)</f>
        <v>0</v>
      </c>
      <c r="I14" s="10">
        <f t="shared" si="4"/>
        <v>3</v>
      </c>
      <c r="J14" s="10">
        <f t="shared" si="4"/>
        <v>97</v>
      </c>
      <c r="K14" s="10">
        <f t="shared" si="4"/>
        <v>131</v>
      </c>
      <c r="L14" s="10">
        <f t="shared" si="4"/>
        <v>72</v>
      </c>
      <c r="M14" s="10">
        <f t="shared" si="4"/>
        <v>54</v>
      </c>
      <c r="N14" s="10">
        <f t="shared" si="4"/>
        <v>13</v>
      </c>
      <c r="O14" s="10">
        <f t="shared" si="4"/>
        <v>10</v>
      </c>
      <c r="P14" s="10">
        <f t="shared" si="4"/>
        <v>4</v>
      </c>
      <c r="Q14" s="10">
        <f t="shared" si="4"/>
        <v>17</v>
      </c>
      <c r="R14" s="10">
        <f t="shared" si="4"/>
        <v>213</v>
      </c>
      <c r="S14" s="10">
        <f t="shared" si="4"/>
        <v>34</v>
      </c>
      <c r="T14" s="10">
        <f t="shared" si="4"/>
        <v>1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s="93" customFormat="1" ht="13.5" customHeight="1">
      <c r="A15" s="542"/>
      <c r="B15" s="493"/>
      <c r="C15" s="143" t="s">
        <v>689</v>
      </c>
      <c r="D15" s="10">
        <f t="shared" si="2"/>
        <v>99</v>
      </c>
      <c r="E15" s="10">
        <f t="shared" si="2"/>
        <v>99</v>
      </c>
      <c r="F15" s="10">
        <f t="shared" si="2"/>
        <v>0</v>
      </c>
      <c r="G15" s="10">
        <v>29</v>
      </c>
      <c r="H15" s="10">
        <f aca="true" t="shared" si="5" ref="H15:T15">SUM(H18,H21,H24,H27,H30,H33,H36,H39)</f>
        <v>0</v>
      </c>
      <c r="I15" s="10">
        <f t="shared" si="5"/>
        <v>13</v>
      </c>
      <c r="J15" s="10">
        <f t="shared" si="5"/>
        <v>40</v>
      </c>
      <c r="K15" s="10">
        <f t="shared" si="5"/>
        <v>27</v>
      </c>
      <c r="L15" s="10">
        <f t="shared" si="5"/>
        <v>15</v>
      </c>
      <c r="M15" s="10">
        <f t="shared" si="5"/>
        <v>1</v>
      </c>
      <c r="N15" s="10">
        <f t="shared" si="5"/>
        <v>3</v>
      </c>
      <c r="O15" s="10">
        <f t="shared" si="5"/>
        <v>0</v>
      </c>
      <c r="P15" s="10">
        <f t="shared" si="5"/>
        <v>0</v>
      </c>
      <c r="Q15" s="10">
        <f t="shared" si="5"/>
        <v>2</v>
      </c>
      <c r="R15" s="10">
        <f t="shared" si="5"/>
        <v>29</v>
      </c>
      <c r="S15" s="10">
        <f t="shared" si="5"/>
        <v>2</v>
      </c>
      <c r="T15" s="10">
        <f t="shared" si="5"/>
        <v>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s="93" customFormat="1" ht="13.5" customHeight="1">
      <c r="A16" s="542"/>
      <c r="B16" s="507" t="s">
        <v>613</v>
      </c>
      <c r="C16" s="234" t="s">
        <v>687</v>
      </c>
      <c r="D16" s="54">
        <f>SUM(D17:D18)</f>
        <v>185</v>
      </c>
      <c r="E16" s="55">
        <f aca="true" t="shared" si="6" ref="E16:T16">SUM(E17:E18)</f>
        <v>185</v>
      </c>
      <c r="F16" s="55">
        <f t="shared" si="6"/>
        <v>0</v>
      </c>
      <c r="G16" s="55">
        <v>31</v>
      </c>
      <c r="H16" s="55">
        <f t="shared" si="6"/>
        <v>0</v>
      </c>
      <c r="I16" s="55">
        <f t="shared" si="6"/>
        <v>9</v>
      </c>
      <c r="J16" s="55">
        <f t="shared" si="6"/>
        <v>73</v>
      </c>
      <c r="K16" s="55">
        <f t="shared" si="6"/>
        <v>63</v>
      </c>
      <c r="L16" s="55">
        <f t="shared" si="6"/>
        <v>29</v>
      </c>
      <c r="M16" s="55">
        <f t="shared" si="6"/>
        <v>7</v>
      </c>
      <c r="N16" s="55">
        <f t="shared" si="6"/>
        <v>4</v>
      </c>
      <c r="O16" s="55">
        <f t="shared" si="6"/>
        <v>0</v>
      </c>
      <c r="P16" s="55">
        <f t="shared" si="6"/>
        <v>0</v>
      </c>
      <c r="Q16" s="55">
        <f t="shared" si="6"/>
        <v>0</v>
      </c>
      <c r="R16" s="55">
        <f t="shared" si="6"/>
        <v>0</v>
      </c>
      <c r="S16" s="55">
        <f t="shared" si="6"/>
        <v>0</v>
      </c>
      <c r="T16" s="55">
        <f t="shared" si="6"/>
        <v>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s="93" customFormat="1" ht="13.5" customHeight="1">
      <c r="A17" s="542"/>
      <c r="B17" s="516"/>
      <c r="C17" s="124" t="s">
        <v>688</v>
      </c>
      <c r="D17" s="24">
        <v>119</v>
      </c>
      <c r="E17" s="10">
        <v>119</v>
      </c>
      <c r="F17" s="10">
        <v>0</v>
      </c>
      <c r="G17" s="10">
        <v>32</v>
      </c>
      <c r="H17" s="10">
        <v>0</v>
      </c>
      <c r="I17" s="10">
        <v>1</v>
      </c>
      <c r="J17" s="10">
        <v>39</v>
      </c>
      <c r="K17" s="10">
        <v>48</v>
      </c>
      <c r="L17" s="10">
        <v>20</v>
      </c>
      <c r="M17" s="10">
        <v>7</v>
      </c>
      <c r="N17" s="10">
        <v>4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s="93" customFormat="1" ht="13.5" customHeight="1">
      <c r="A18" s="542"/>
      <c r="B18" s="517"/>
      <c r="C18" s="235" t="s">
        <v>689</v>
      </c>
      <c r="D18" s="24">
        <v>66</v>
      </c>
      <c r="E18" s="10">
        <v>66</v>
      </c>
      <c r="F18" s="10">
        <v>0</v>
      </c>
      <c r="G18" s="10">
        <v>28</v>
      </c>
      <c r="H18" s="10">
        <v>0</v>
      </c>
      <c r="I18" s="10">
        <v>8</v>
      </c>
      <c r="J18" s="10">
        <v>34</v>
      </c>
      <c r="K18" s="10">
        <v>15</v>
      </c>
      <c r="L18" s="10">
        <v>9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s="93" customFormat="1" ht="13.5" customHeight="1">
      <c r="A19" s="542"/>
      <c r="B19" s="507" t="s">
        <v>615</v>
      </c>
      <c r="C19" s="234" t="s">
        <v>687</v>
      </c>
      <c r="D19" s="54">
        <f>SUM(D20:D21)</f>
        <v>109</v>
      </c>
      <c r="E19" s="55">
        <f aca="true" t="shared" si="7" ref="E19:T19">SUM(E20:E21)</f>
        <v>109</v>
      </c>
      <c r="F19" s="55">
        <f t="shared" si="7"/>
        <v>0</v>
      </c>
      <c r="G19" s="55">
        <v>35</v>
      </c>
      <c r="H19" s="55">
        <f t="shared" si="7"/>
        <v>0</v>
      </c>
      <c r="I19" s="55">
        <f t="shared" si="7"/>
        <v>4</v>
      </c>
      <c r="J19" s="55">
        <f t="shared" si="7"/>
        <v>22</v>
      </c>
      <c r="K19" s="55">
        <f t="shared" si="7"/>
        <v>31</v>
      </c>
      <c r="L19" s="55">
        <f t="shared" si="7"/>
        <v>23</v>
      </c>
      <c r="M19" s="55">
        <f t="shared" si="7"/>
        <v>19</v>
      </c>
      <c r="N19" s="55">
        <f t="shared" si="7"/>
        <v>4</v>
      </c>
      <c r="O19" s="55">
        <f t="shared" si="7"/>
        <v>5</v>
      </c>
      <c r="P19" s="55">
        <f t="shared" si="7"/>
        <v>1</v>
      </c>
      <c r="Q19" s="55">
        <f t="shared" si="7"/>
        <v>0</v>
      </c>
      <c r="R19" s="55">
        <f t="shared" si="7"/>
        <v>86</v>
      </c>
      <c r="S19" s="55">
        <f t="shared" si="7"/>
        <v>22</v>
      </c>
      <c r="T19" s="55">
        <f t="shared" si="7"/>
        <v>1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s="93" customFormat="1" ht="13.5" customHeight="1">
      <c r="A20" s="542"/>
      <c r="B20" s="565"/>
      <c r="C20" s="124" t="s">
        <v>688</v>
      </c>
      <c r="D20" s="24">
        <v>99</v>
      </c>
      <c r="E20" s="10">
        <v>99</v>
      </c>
      <c r="F20" s="10">
        <v>0</v>
      </c>
      <c r="G20" s="10">
        <v>35</v>
      </c>
      <c r="H20" s="10">
        <v>0</v>
      </c>
      <c r="I20" s="10">
        <v>2</v>
      </c>
      <c r="J20" s="10">
        <v>21</v>
      </c>
      <c r="K20" s="10">
        <v>27</v>
      </c>
      <c r="L20" s="10">
        <v>21</v>
      </c>
      <c r="M20" s="10">
        <v>18</v>
      </c>
      <c r="N20" s="10">
        <v>4</v>
      </c>
      <c r="O20" s="10">
        <v>5</v>
      </c>
      <c r="P20" s="10">
        <v>1</v>
      </c>
      <c r="Q20" s="10">
        <v>0</v>
      </c>
      <c r="R20" s="10">
        <v>78</v>
      </c>
      <c r="S20" s="10">
        <v>20</v>
      </c>
      <c r="T20" s="10">
        <v>1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s="93" customFormat="1" ht="13.5" customHeight="1">
      <c r="A21" s="542"/>
      <c r="B21" s="566"/>
      <c r="C21" s="235" t="s">
        <v>689</v>
      </c>
      <c r="D21" s="24">
        <v>10</v>
      </c>
      <c r="E21" s="10">
        <v>10</v>
      </c>
      <c r="F21" s="10">
        <v>0</v>
      </c>
      <c r="G21" s="10">
        <v>31</v>
      </c>
      <c r="H21" s="10">
        <v>0</v>
      </c>
      <c r="I21" s="10">
        <v>2</v>
      </c>
      <c r="J21" s="10">
        <v>1</v>
      </c>
      <c r="K21" s="10">
        <v>4</v>
      </c>
      <c r="L21" s="10">
        <v>2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10">
        <v>8</v>
      </c>
      <c r="S21" s="10">
        <v>2</v>
      </c>
      <c r="T21" s="10">
        <v>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s="93" customFormat="1" ht="13.5" customHeight="1">
      <c r="A22" s="542"/>
      <c r="B22" s="507" t="s">
        <v>616</v>
      </c>
      <c r="C22" s="234" t="s">
        <v>687</v>
      </c>
      <c r="D22" s="54">
        <v>2</v>
      </c>
      <c r="E22" s="55">
        <v>2</v>
      </c>
      <c r="F22" s="55">
        <v>0</v>
      </c>
      <c r="G22" s="55">
        <v>27</v>
      </c>
      <c r="H22" s="55">
        <v>0</v>
      </c>
      <c r="I22" s="55">
        <v>0</v>
      </c>
      <c r="J22" s="55">
        <v>2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2</v>
      </c>
      <c r="S22" s="55">
        <v>0</v>
      </c>
      <c r="T22" s="55">
        <v>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s="93" customFormat="1" ht="13.5" customHeight="1">
      <c r="A23" s="542"/>
      <c r="B23" s="565"/>
      <c r="C23" s="124" t="s">
        <v>688</v>
      </c>
      <c r="D23" s="24">
        <v>2</v>
      </c>
      <c r="E23" s="10">
        <v>2</v>
      </c>
      <c r="F23" s="10">
        <v>0</v>
      </c>
      <c r="G23" s="10">
        <v>27</v>
      </c>
      <c r="H23" s="10">
        <v>0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2</v>
      </c>
      <c r="S23" s="10">
        <v>0</v>
      </c>
      <c r="T23" s="10">
        <v>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s="93" customFormat="1" ht="13.5" customHeight="1">
      <c r="A24" s="542"/>
      <c r="B24" s="566"/>
      <c r="C24" s="235" t="s">
        <v>689</v>
      </c>
      <c r="D24" s="24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s="93" customFormat="1" ht="13.5" customHeight="1">
      <c r="A25" s="542"/>
      <c r="B25" s="507" t="s">
        <v>533</v>
      </c>
      <c r="C25" s="234" t="s">
        <v>702</v>
      </c>
      <c r="D25" s="54">
        <f>SUM(D26:D27)</f>
        <v>34</v>
      </c>
      <c r="E25" s="55">
        <f aca="true" t="shared" si="8" ref="E25:T25">SUM(E26:E27)</f>
        <v>34</v>
      </c>
      <c r="F25" s="55">
        <f t="shared" si="8"/>
        <v>0</v>
      </c>
      <c r="G25" s="55">
        <v>33</v>
      </c>
      <c r="H25" s="55">
        <f t="shared" si="8"/>
        <v>0</v>
      </c>
      <c r="I25" s="55">
        <f t="shared" si="8"/>
        <v>0</v>
      </c>
      <c r="J25" s="55">
        <f t="shared" si="8"/>
        <v>12</v>
      </c>
      <c r="K25" s="55">
        <f t="shared" si="8"/>
        <v>11</v>
      </c>
      <c r="L25" s="55">
        <f t="shared" si="8"/>
        <v>5</v>
      </c>
      <c r="M25" s="55">
        <f t="shared" si="8"/>
        <v>3</v>
      </c>
      <c r="N25" s="55">
        <f t="shared" si="8"/>
        <v>2</v>
      </c>
      <c r="O25" s="55">
        <f t="shared" si="8"/>
        <v>1</v>
      </c>
      <c r="P25" s="55">
        <f t="shared" si="8"/>
        <v>0</v>
      </c>
      <c r="Q25" s="55">
        <f t="shared" si="8"/>
        <v>1</v>
      </c>
      <c r="R25" s="55">
        <f t="shared" si="8"/>
        <v>32</v>
      </c>
      <c r="S25" s="55">
        <f t="shared" si="8"/>
        <v>1</v>
      </c>
      <c r="T25" s="55">
        <f t="shared" si="8"/>
        <v>0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s="93" customFormat="1" ht="13.5" customHeight="1">
      <c r="A26" s="542"/>
      <c r="B26" s="516"/>
      <c r="C26" s="124" t="s">
        <v>703</v>
      </c>
      <c r="D26" s="24">
        <v>29</v>
      </c>
      <c r="E26" s="10">
        <v>29</v>
      </c>
      <c r="F26" s="10">
        <v>0</v>
      </c>
      <c r="G26" s="10">
        <v>33</v>
      </c>
      <c r="H26" s="10">
        <v>0</v>
      </c>
      <c r="I26" s="10">
        <v>0</v>
      </c>
      <c r="J26" s="10">
        <v>10</v>
      </c>
      <c r="K26" s="10">
        <v>8</v>
      </c>
      <c r="L26" s="10">
        <v>5</v>
      </c>
      <c r="M26" s="10">
        <v>3</v>
      </c>
      <c r="N26" s="10">
        <v>2</v>
      </c>
      <c r="O26" s="10">
        <v>1</v>
      </c>
      <c r="P26" s="10">
        <v>0</v>
      </c>
      <c r="Q26" s="10">
        <v>1</v>
      </c>
      <c r="R26" s="10">
        <v>27</v>
      </c>
      <c r="S26" s="10">
        <v>1</v>
      </c>
      <c r="T26" s="10">
        <v>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s="93" customFormat="1" ht="13.5" customHeight="1">
      <c r="A27" s="542"/>
      <c r="B27" s="517"/>
      <c r="C27" s="235" t="s">
        <v>704</v>
      </c>
      <c r="D27" s="24">
        <v>5</v>
      </c>
      <c r="E27" s="10">
        <v>5</v>
      </c>
      <c r="F27" s="10">
        <v>0</v>
      </c>
      <c r="G27" s="10">
        <v>30</v>
      </c>
      <c r="H27" s="10">
        <v>0</v>
      </c>
      <c r="I27" s="10">
        <v>0</v>
      </c>
      <c r="J27" s="10">
        <v>2</v>
      </c>
      <c r="K27" s="10">
        <v>3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5</v>
      </c>
      <c r="S27" s="10">
        <v>0</v>
      </c>
      <c r="T27" s="10">
        <v>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20" s="93" customFormat="1" ht="13.5" customHeight="1">
      <c r="A28" s="538" t="s">
        <v>573</v>
      </c>
      <c r="B28" s="491" t="s">
        <v>534</v>
      </c>
      <c r="C28" s="234" t="s">
        <v>702</v>
      </c>
      <c r="D28" s="54">
        <f>SUM(D29:D30)</f>
        <v>57</v>
      </c>
      <c r="E28" s="55">
        <f aca="true" t="shared" si="9" ref="E28:T28">SUM(E29:E30)</f>
        <v>57</v>
      </c>
      <c r="F28" s="55">
        <f t="shared" si="9"/>
        <v>0</v>
      </c>
      <c r="G28" s="55">
        <v>34</v>
      </c>
      <c r="H28" s="55">
        <f t="shared" si="9"/>
        <v>0</v>
      </c>
      <c r="I28" s="55">
        <f t="shared" si="9"/>
        <v>3</v>
      </c>
      <c r="J28" s="55">
        <f t="shared" si="9"/>
        <v>11</v>
      </c>
      <c r="K28" s="55">
        <f t="shared" si="9"/>
        <v>19</v>
      </c>
      <c r="L28" s="55">
        <f t="shared" si="9"/>
        <v>10</v>
      </c>
      <c r="M28" s="55">
        <f t="shared" si="9"/>
        <v>8</v>
      </c>
      <c r="N28" s="55">
        <f t="shared" si="9"/>
        <v>2</v>
      </c>
      <c r="O28" s="55">
        <f t="shared" si="9"/>
        <v>3</v>
      </c>
      <c r="P28" s="55">
        <f t="shared" si="9"/>
        <v>1</v>
      </c>
      <c r="Q28" s="55">
        <f t="shared" si="9"/>
        <v>1</v>
      </c>
      <c r="R28" s="55">
        <f t="shared" si="9"/>
        <v>49</v>
      </c>
      <c r="S28" s="55">
        <f t="shared" si="9"/>
        <v>7</v>
      </c>
      <c r="T28" s="55">
        <f t="shared" si="9"/>
        <v>0</v>
      </c>
    </row>
    <row r="29" spans="1:20" s="93" customFormat="1" ht="13.5" customHeight="1">
      <c r="A29" s="538"/>
      <c r="B29" s="492"/>
      <c r="C29" s="124" t="s">
        <v>703</v>
      </c>
      <c r="D29" s="64">
        <v>49</v>
      </c>
      <c r="E29" s="49">
        <v>49</v>
      </c>
      <c r="F29" s="58">
        <v>0</v>
      </c>
      <c r="G29" s="49">
        <v>35</v>
      </c>
      <c r="H29" s="49">
        <v>0</v>
      </c>
      <c r="I29" s="49">
        <v>0</v>
      </c>
      <c r="J29" s="59">
        <v>10</v>
      </c>
      <c r="K29" s="58">
        <v>18</v>
      </c>
      <c r="L29" s="58">
        <v>9</v>
      </c>
      <c r="M29" s="58">
        <v>8</v>
      </c>
      <c r="N29" s="58">
        <v>0</v>
      </c>
      <c r="O29" s="58">
        <v>3</v>
      </c>
      <c r="P29" s="58">
        <v>1</v>
      </c>
      <c r="Q29" s="58">
        <v>1</v>
      </c>
      <c r="R29" s="58">
        <v>41</v>
      </c>
      <c r="S29" s="58">
        <v>7</v>
      </c>
      <c r="T29" s="58">
        <v>0</v>
      </c>
    </row>
    <row r="30" spans="1:20" s="93" customFormat="1" ht="13.5" customHeight="1">
      <c r="A30" s="538"/>
      <c r="B30" s="493"/>
      <c r="C30" s="235" t="s">
        <v>704</v>
      </c>
      <c r="D30" s="64">
        <v>8</v>
      </c>
      <c r="E30" s="49">
        <v>8</v>
      </c>
      <c r="F30" s="58">
        <v>0</v>
      </c>
      <c r="G30" s="49">
        <v>31</v>
      </c>
      <c r="H30" s="49">
        <v>0</v>
      </c>
      <c r="I30" s="49">
        <v>3</v>
      </c>
      <c r="J30" s="59">
        <v>1</v>
      </c>
      <c r="K30" s="58">
        <v>1</v>
      </c>
      <c r="L30" s="58">
        <v>1</v>
      </c>
      <c r="M30" s="58">
        <v>0</v>
      </c>
      <c r="N30" s="58">
        <v>2</v>
      </c>
      <c r="O30" s="58">
        <v>0</v>
      </c>
      <c r="P30" s="58">
        <v>0</v>
      </c>
      <c r="Q30" s="58">
        <v>0</v>
      </c>
      <c r="R30" s="58">
        <v>8</v>
      </c>
      <c r="S30" s="58">
        <v>0</v>
      </c>
      <c r="T30" s="58">
        <v>0</v>
      </c>
    </row>
    <row r="31" spans="1:20" s="93" customFormat="1" ht="13.5" customHeight="1">
      <c r="A31" s="538"/>
      <c r="B31" s="491" t="s">
        <v>535</v>
      </c>
      <c r="C31" s="234" t="s">
        <v>702</v>
      </c>
      <c r="D31" s="54">
        <f>SUM(D32:D33)</f>
        <v>36</v>
      </c>
      <c r="E31" s="55">
        <f aca="true" t="shared" si="10" ref="E31:T31">SUM(E32:E33)</f>
        <v>36</v>
      </c>
      <c r="F31" s="55">
        <f t="shared" si="10"/>
        <v>0</v>
      </c>
      <c r="G31" s="55">
        <f>SUM(G32:G33)/2</f>
        <v>36</v>
      </c>
      <c r="H31" s="55">
        <f t="shared" si="10"/>
        <v>0</v>
      </c>
      <c r="I31" s="55">
        <f t="shared" si="10"/>
        <v>0</v>
      </c>
      <c r="J31" s="55">
        <f t="shared" si="10"/>
        <v>7</v>
      </c>
      <c r="K31" s="55">
        <f t="shared" si="10"/>
        <v>8</v>
      </c>
      <c r="L31" s="55">
        <f t="shared" si="10"/>
        <v>10</v>
      </c>
      <c r="M31" s="55">
        <f t="shared" si="10"/>
        <v>7</v>
      </c>
      <c r="N31" s="55">
        <f t="shared" si="10"/>
        <v>3</v>
      </c>
      <c r="O31" s="55">
        <f t="shared" si="10"/>
        <v>0</v>
      </c>
      <c r="P31" s="55">
        <f t="shared" si="10"/>
        <v>1</v>
      </c>
      <c r="Q31" s="55">
        <f t="shared" si="10"/>
        <v>3</v>
      </c>
      <c r="R31" s="55">
        <f t="shared" si="10"/>
        <v>30</v>
      </c>
      <c r="S31" s="55">
        <f t="shared" si="10"/>
        <v>3</v>
      </c>
      <c r="T31" s="55">
        <f t="shared" si="10"/>
        <v>0</v>
      </c>
    </row>
    <row r="32" spans="1:20" s="93" customFormat="1" ht="13.5" customHeight="1">
      <c r="A32" s="538"/>
      <c r="B32" s="492"/>
      <c r="C32" s="124" t="s">
        <v>703</v>
      </c>
      <c r="D32" s="64">
        <v>32</v>
      </c>
      <c r="E32" s="49">
        <v>32</v>
      </c>
      <c r="F32" s="58">
        <v>0</v>
      </c>
      <c r="G32" s="49">
        <v>36</v>
      </c>
      <c r="H32" s="49">
        <v>0</v>
      </c>
      <c r="I32" s="49">
        <v>0</v>
      </c>
      <c r="J32" s="59">
        <v>6</v>
      </c>
      <c r="K32" s="58">
        <v>7</v>
      </c>
      <c r="L32" s="58">
        <v>9</v>
      </c>
      <c r="M32" s="58">
        <v>7</v>
      </c>
      <c r="N32" s="58">
        <v>2</v>
      </c>
      <c r="O32" s="58">
        <v>0</v>
      </c>
      <c r="P32" s="58">
        <v>1</v>
      </c>
      <c r="Q32" s="58">
        <v>3</v>
      </c>
      <c r="R32" s="58">
        <v>26</v>
      </c>
      <c r="S32" s="58">
        <v>3</v>
      </c>
      <c r="T32" s="62">
        <v>0</v>
      </c>
    </row>
    <row r="33" spans="1:20" s="93" customFormat="1" ht="13.5" customHeight="1">
      <c r="A33" s="538"/>
      <c r="B33" s="493"/>
      <c r="C33" s="235" t="s">
        <v>704</v>
      </c>
      <c r="D33" s="64">
        <v>4</v>
      </c>
      <c r="E33" s="49">
        <v>4</v>
      </c>
      <c r="F33" s="58">
        <v>0</v>
      </c>
      <c r="G33" s="49">
        <v>36</v>
      </c>
      <c r="H33" s="49">
        <v>0</v>
      </c>
      <c r="I33" s="49">
        <v>0</v>
      </c>
      <c r="J33" s="59">
        <v>1</v>
      </c>
      <c r="K33" s="58">
        <v>1</v>
      </c>
      <c r="L33" s="58">
        <v>1</v>
      </c>
      <c r="M33" s="58">
        <v>0</v>
      </c>
      <c r="N33" s="58">
        <v>1</v>
      </c>
      <c r="O33" s="58">
        <v>0</v>
      </c>
      <c r="P33" s="58">
        <v>0</v>
      </c>
      <c r="Q33" s="58">
        <v>0</v>
      </c>
      <c r="R33" s="58">
        <v>4</v>
      </c>
      <c r="S33" s="58">
        <v>0</v>
      </c>
      <c r="T33" s="62">
        <v>0</v>
      </c>
    </row>
    <row r="34" spans="1:20" s="93" customFormat="1" ht="13.5" customHeight="1">
      <c r="A34" s="538"/>
      <c r="B34" s="491" t="s">
        <v>536</v>
      </c>
      <c r="C34" s="234" t="s">
        <v>702</v>
      </c>
      <c r="D34" s="54">
        <f>SUM(D35:D36)</f>
        <v>41</v>
      </c>
      <c r="E34" s="55">
        <f aca="true" t="shared" si="11" ref="E34:T34">SUM(E35:E36)</f>
        <v>41</v>
      </c>
      <c r="F34" s="55">
        <f t="shared" si="11"/>
        <v>0</v>
      </c>
      <c r="G34" s="55">
        <v>34</v>
      </c>
      <c r="H34" s="55">
        <f t="shared" si="11"/>
        <v>0</v>
      </c>
      <c r="I34" s="55">
        <f t="shared" si="11"/>
        <v>0</v>
      </c>
      <c r="J34" s="55">
        <f t="shared" si="11"/>
        <v>6</v>
      </c>
      <c r="K34" s="55">
        <f t="shared" si="11"/>
        <v>17</v>
      </c>
      <c r="L34" s="55">
        <f t="shared" si="11"/>
        <v>7</v>
      </c>
      <c r="M34" s="55">
        <f t="shared" si="11"/>
        <v>10</v>
      </c>
      <c r="N34" s="55">
        <f t="shared" si="11"/>
        <v>1</v>
      </c>
      <c r="O34" s="55">
        <f t="shared" si="11"/>
        <v>0</v>
      </c>
      <c r="P34" s="55">
        <f t="shared" si="11"/>
        <v>0</v>
      </c>
      <c r="Q34" s="55">
        <f t="shared" si="11"/>
        <v>12</v>
      </c>
      <c r="R34" s="55">
        <f t="shared" si="11"/>
        <v>27</v>
      </c>
      <c r="S34" s="55">
        <f t="shared" si="11"/>
        <v>2</v>
      </c>
      <c r="T34" s="55">
        <f t="shared" si="11"/>
        <v>0</v>
      </c>
    </row>
    <row r="35" spans="1:20" s="93" customFormat="1" ht="13.5" customHeight="1">
      <c r="A35" s="538"/>
      <c r="B35" s="492"/>
      <c r="C35" s="124" t="s">
        <v>703</v>
      </c>
      <c r="D35" s="64">
        <v>35</v>
      </c>
      <c r="E35" s="49">
        <v>35</v>
      </c>
      <c r="F35" s="49">
        <v>0</v>
      </c>
      <c r="G35" s="49">
        <v>35</v>
      </c>
      <c r="H35" s="49">
        <v>0</v>
      </c>
      <c r="I35" s="49">
        <v>0</v>
      </c>
      <c r="J35" s="49">
        <v>5</v>
      </c>
      <c r="K35" s="49">
        <v>14</v>
      </c>
      <c r="L35" s="49">
        <v>5</v>
      </c>
      <c r="M35" s="49">
        <v>10</v>
      </c>
      <c r="N35" s="49">
        <v>1</v>
      </c>
      <c r="O35" s="49">
        <v>0</v>
      </c>
      <c r="P35" s="49">
        <v>0</v>
      </c>
      <c r="Q35" s="49">
        <v>10</v>
      </c>
      <c r="R35" s="49">
        <v>23</v>
      </c>
      <c r="S35" s="49">
        <v>2</v>
      </c>
      <c r="T35" s="49">
        <v>0</v>
      </c>
    </row>
    <row r="36" spans="1:20" s="93" customFormat="1" ht="13.5" customHeight="1">
      <c r="A36" s="538"/>
      <c r="B36" s="492"/>
      <c r="C36" s="235" t="s">
        <v>704</v>
      </c>
      <c r="D36" s="64">
        <v>6</v>
      </c>
      <c r="E36" s="49">
        <v>6</v>
      </c>
      <c r="F36" s="49">
        <v>0</v>
      </c>
      <c r="G36" s="49">
        <v>31</v>
      </c>
      <c r="H36" s="49">
        <v>0</v>
      </c>
      <c r="I36" s="49">
        <v>0</v>
      </c>
      <c r="J36" s="49">
        <v>1</v>
      </c>
      <c r="K36" s="49">
        <v>3</v>
      </c>
      <c r="L36" s="49">
        <v>2</v>
      </c>
      <c r="M36" s="49">
        <v>0</v>
      </c>
      <c r="N36" s="49">
        <v>0</v>
      </c>
      <c r="O36" s="49">
        <v>0</v>
      </c>
      <c r="P36" s="49">
        <v>0</v>
      </c>
      <c r="Q36" s="49">
        <v>2</v>
      </c>
      <c r="R36" s="49">
        <v>4</v>
      </c>
      <c r="S36" s="49">
        <v>0</v>
      </c>
      <c r="T36" s="49">
        <v>0</v>
      </c>
    </row>
    <row r="37" spans="1:20" s="93" customFormat="1" ht="13.5" customHeight="1">
      <c r="A37" s="538"/>
      <c r="B37" s="491" t="s">
        <v>537</v>
      </c>
      <c r="C37" s="141" t="s">
        <v>702</v>
      </c>
      <c r="D37" s="55">
        <v>19</v>
      </c>
      <c r="E37" s="55">
        <v>19</v>
      </c>
      <c r="F37" s="55">
        <v>0</v>
      </c>
      <c r="G37" s="55">
        <v>34</v>
      </c>
      <c r="H37" s="55">
        <v>0</v>
      </c>
      <c r="I37" s="55">
        <v>0</v>
      </c>
      <c r="J37" s="55">
        <v>4</v>
      </c>
      <c r="K37" s="55">
        <v>9</v>
      </c>
      <c r="L37" s="55">
        <v>3</v>
      </c>
      <c r="M37" s="55">
        <v>1</v>
      </c>
      <c r="N37" s="55">
        <v>0</v>
      </c>
      <c r="O37" s="55">
        <v>1</v>
      </c>
      <c r="P37" s="55">
        <v>1</v>
      </c>
      <c r="Q37" s="55">
        <v>2</v>
      </c>
      <c r="R37" s="55">
        <v>16</v>
      </c>
      <c r="S37" s="55">
        <v>1</v>
      </c>
      <c r="T37" s="55">
        <v>0</v>
      </c>
    </row>
    <row r="38" spans="1:20" s="93" customFormat="1" ht="13.5" customHeight="1">
      <c r="A38" s="538"/>
      <c r="B38" s="492"/>
      <c r="C38" s="124" t="s">
        <v>703</v>
      </c>
      <c r="D38" s="64">
        <v>19</v>
      </c>
      <c r="E38" s="49">
        <v>19</v>
      </c>
      <c r="F38" s="49">
        <v>0</v>
      </c>
      <c r="G38" s="49">
        <v>34</v>
      </c>
      <c r="H38" s="49">
        <v>0</v>
      </c>
      <c r="I38" s="49">
        <v>0</v>
      </c>
      <c r="J38" s="49">
        <v>4</v>
      </c>
      <c r="K38" s="49">
        <v>9</v>
      </c>
      <c r="L38" s="49">
        <v>3</v>
      </c>
      <c r="M38" s="49">
        <v>1</v>
      </c>
      <c r="N38" s="49">
        <v>0</v>
      </c>
      <c r="O38" s="49">
        <v>1</v>
      </c>
      <c r="P38" s="49">
        <v>1</v>
      </c>
      <c r="Q38" s="49">
        <v>2</v>
      </c>
      <c r="R38" s="49">
        <v>16</v>
      </c>
      <c r="S38" s="49">
        <v>1</v>
      </c>
      <c r="T38" s="49">
        <v>0</v>
      </c>
    </row>
    <row r="39" spans="1:20" s="93" customFormat="1" ht="13.5" customHeight="1">
      <c r="A39" s="545"/>
      <c r="B39" s="492"/>
      <c r="C39" s="235" t="s">
        <v>704</v>
      </c>
      <c r="D39" s="64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</row>
    <row r="40" spans="1:20" s="93" customFormat="1" ht="13.5" customHeight="1">
      <c r="A40" s="541" t="s">
        <v>138</v>
      </c>
      <c r="B40" s="536" t="s">
        <v>518</v>
      </c>
      <c r="C40" s="234" t="s">
        <v>702</v>
      </c>
      <c r="D40" s="140">
        <f>SUM(D43,D46)+SUM('表32(續完)'!D7,'表32(續完)'!D10)</f>
        <v>165</v>
      </c>
      <c r="E40" s="56">
        <f>SUM(E43,E46)+SUM('表32(續完)'!E7,'表32(續完)'!E10)</f>
        <v>165</v>
      </c>
      <c r="F40" s="56">
        <f>SUM(F43,F46)+SUM('表32(續完)'!F7,'表32(續完)'!F10)</f>
        <v>0</v>
      </c>
      <c r="G40" s="56">
        <v>29</v>
      </c>
      <c r="H40" s="56">
        <f>SUM(H43,H46)+SUM('表32(續完)'!H7,'表32(續完)'!H10)</f>
        <v>0</v>
      </c>
      <c r="I40" s="56">
        <f>SUM(I43,I46)+SUM('表32(續完)'!I7,'表32(續完)'!I10)</f>
        <v>18</v>
      </c>
      <c r="J40" s="56">
        <f>SUM(J43,J46)+SUM('表32(續完)'!J7,'表32(續完)'!J10)</f>
        <v>63</v>
      </c>
      <c r="K40" s="56">
        <f>SUM(K43,K46)+SUM('表32(續完)'!K7,'表32(續完)'!K10)</f>
        <v>58</v>
      </c>
      <c r="L40" s="56">
        <f>SUM(L43,L46)+SUM('表32(續完)'!L7,'表32(續完)'!L10)</f>
        <v>20</v>
      </c>
      <c r="M40" s="56">
        <f>SUM(M43,M46)+SUM('表32(續完)'!M7,'表32(續完)'!M10)</f>
        <v>6</v>
      </c>
      <c r="N40" s="56">
        <f>SUM(N43,N46)+SUM('表32(續完)'!N7,'表32(續完)'!N10)</f>
        <v>0</v>
      </c>
      <c r="O40" s="56">
        <f>SUM(O43,O46)+SUM('表32(續完)'!O7,'表32(續完)'!O10)</f>
        <v>0</v>
      </c>
      <c r="P40" s="56">
        <f>SUM(P43,P46)+SUM('表32(續完)'!P7,'表32(續完)'!P10)</f>
        <v>0</v>
      </c>
      <c r="Q40" s="56">
        <f>SUM(Q43,Q46)+SUM('表32(續完)'!Q7,'表32(續完)'!Q10)</f>
        <v>3</v>
      </c>
      <c r="R40" s="56">
        <f>SUM(R43,R46)+SUM('表32(續完)'!R7,'表32(續完)'!R10)</f>
        <v>157</v>
      </c>
      <c r="S40" s="56">
        <f>SUM(S43,S46)+SUM('表32(續完)'!S7,'表32(續完)'!S10)</f>
        <v>5</v>
      </c>
      <c r="T40" s="56">
        <f>SUM(T43,T46)+SUM('表32(續完)'!T7,'表32(續完)'!T10)</f>
        <v>0</v>
      </c>
    </row>
    <row r="41" spans="1:20" s="93" customFormat="1" ht="13.5" customHeight="1">
      <c r="A41" s="542"/>
      <c r="B41" s="492"/>
      <c r="C41" s="124" t="s">
        <v>703</v>
      </c>
      <c r="D41" s="24">
        <f>SUM(D44,D47)+SUM('表32(續完)'!D8,'表32(續完)'!D11)</f>
        <v>19</v>
      </c>
      <c r="E41" s="10">
        <f>SUM(E44,E47)+SUM('表32(續完)'!E8,'表32(續完)'!E11)</f>
        <v>19</v>
      </c>
      <c r="F41" s="10">
        <f>SUM(F44,F47)+SUM('表32(續完)'!F8,'表32(續完)'!F11)</f>
        <v>0</v>
      </c>
      <c r="G41" s="10">
        <v>30</v>
      </c>
      <c r="H41" s="10">
        <f>SUM(H44,H47)+SUM('表32(續完)'!H8,'表32(續完)'!H11)</f>
        <v>0</v>
      </c>
      <c r="I41" s="10">
        <f>SUM(I44,I47)+SUM('表32(續完)'!I8,'表32(續完)'!I11)</f>
        <v>1</v>
      </c>
      <c r="J41" s="10">
        <f>SUM(J44,J47)+SUM('表32(續完)'!J8,'表32(續完)'!J11)</f>
        <v>8</v>
      </c>
      <c r="K41" s="10">
        <f>SUM(K44,K47)+SUM('表32(續完)'!K8,'表32(續完)'!K11)</f>
        <v>7</v>
      </c>
      <c r="L41" s="10">
        <f>SUM(L44,L47)+SUM('表32(續完)'!L8,'表32(續完)'!L11)</f>
        <v>2</v>
      </c>
      <c r="M41" s="10">
        <f>SUM(M44,M47)+SUM('表32(續完)'!M8,'表32(續完)'!M11)</f>
        <v>1</v>
      </c>
      <c r="N41" s="10">
        <f>SUM(N44,N47)+SUM('表32(續完)'!N8,'表32(續完)'!N11)</f>
        <v>0</v>
      </c>
      <c r="O41" s="10">
        <f>SUM(O44,O47)+SUM('表32(續完)'!O8,'表32(續完)'!O11)</f>
        <v>0</v>
      </c>
      <c r="P41" s="10">
        <f>SUM(P44,P47)+SUM('表32(續完)'!P8,'表32(續完)'!P11)</f>
        <v>0</v>
      </c>
      <c r="Q41" s="10">
        <f>SUM(Q44,Q47)+SUM('表32(續完)'!Q8,'表32(續完)'!Q11)</f>
        <v>1</v>
      </c>
      <c r="R41" s="10">
        <f>SUM(R44,R47)+SUM('表32(續完)'!R8,'表32(續完)'!R11)</f>
        <v>17</v>
      </c>
      <c r="S41" s="10">
        <f>SUM(S44,S47)+SUM('表32(續完)'!S8,'表32(續完)'!S11)</f>
        <v>1</v>
      </c>
      <c r="T41" s="10">
        <f>SUM(T44,T47)+SUM('表32(續完)'!T8,'表32(續完)'!T11)</f>
        <v>0</v>
      </c>
    </row>
    <row r="42" spans="1:20" s="93" customFormat="1" ht="13.5" customHeight="1">
      <c r="A42" s="542"/>
      <c r="B42" s="493"/>
      <c r="C42" s="235" t="s">
        <v>704</v>
      </c>
      <c r="D42" s="24">
        <f>SUM(D45,D48)+SUM('表32(續完)'!D9,'表32(續完)'!D12)</f>
        <v>146</v>
      </c>
      <c r="E42" s="10">
        <f>SUM(E45,E48)+SUM('表32(續完)'!E9,'表32(續完)'!E12)</f>
        <v>146</v>
      </c>
      <c r="F42" s="10">
        <f>SUM(F45,F48)+SUM('表32(續完)'!F9,'表32(續完)'!F12)</f>
        <v>0</v>
      </c>
      <c r="G42" s="10">
        <f>(SUM(G45,G48)+SUM('表32(續完)'!G9,'表32(續完)'!G12))/4</f>
        <v>29.25</v>
      </c>
      <c r="H42" s="10">
        <f>SUM(H45,H48)+SUM('表32(續完)'!H9,'表32(續完)'!H12)</f>
        <v>0</v>
      </c>
      <c r="I42" s="10">
        <f>SUM(I45,I48)+SUM('表32(續完)'!I9,'表32(續完)'!I12)</f>
        <v>17</v>
      </c>
      <c r="J42" s="10">
        <f>SUM(J45,J48)+SUM('表32(續完)'!J9,'表32(續完)'!J12)</f>
        <v>55</v>
      </c>
      <c r="K42" s="10">
        <f>SUM(K45,K48)+SUM('表32(續完)'!K9,'表32(續完)'!K12)</f>
        <v>51</v>
      </c>
      <c r="L42" s="10">
        <f>SUM(L45,L48)+SUM('表32(續完)'!L9,'表32(續完)'!L12)</f>
        <v>18</v>
      </c>
      <c r="M42" s="10">
        <f>SUM(M45,M48)+SUM('表32(續完)'!M9,'表32(續完)'!M12)</f>
        <v>5</v>
      </c>
      <c r="N42" s="10">
        <f>SUM(N45,N48)+SUM('表32(續完)'!N9,'表32(續完)'!N12)</f>
        <v>0</v>
      </c>
      <c r="O42" s="10">
        <f>SUM(O45,O48)+SUM('表32(續完)'!O9,'表32(續完)'!O12)</f>
        <v>0</v>
      </c>
      <c r="P42" s="10">
        <f>SUM(P45,P48)+SUM('表32(續完)'!P9,'表32(續完)'!P12)</f>
        <v>0</v>
      </c>
      <c r="Q42" s="10">
        <f>SUM(Q45,Q48)+SUM('表32(續完)'!Q9,'表32(續完)'!Q12)</f>
        <v>2</v>
      </c>
      <c r="R42" s="10">
        <f>SUM(R45,R48)+SUM('表32(續完)'!R9,'表32(續完)'!R12)</f>
        <v>140</v>
      </c>
      <c r="S42" s="10">
        <f>SUM(S45,S48)+SUM('表32(續完)'!S9,'表32(續完)'!S12)</f>
        <v>4</v>
      </c>
      <c r="T42" s="10">
        <f>SUM(T45,T48)+SUM('表32(續完)'!T9,'表32(續完)'!T12)</f>
        <v>0</v>
      </c>
    </row>
    <row r="43" spans="1:20" s="93" customFormat="1" ht="13.5" customHeight="1">
      <c r="A43" s="542"/>
      <c r="B43" s="494" t="s">
        <v>521</v>
      </c>
      <c r="C43" s="234" t="s">
        <v>702</v>
      </c>
      <c r="D43" s="54">
        <f>SUM(D44:D45)</f>
        <v>104</v>
      </c>
      <c r="E43" s="55">
        <f aca="true" t="shared" si="12" ref="E43:T43">SUM(E44:E45)</f>
        <v>104</v>
      </c>
      <c r="F43" s="55">
        <f t="shared" si="12"/>
        <v>0</v>
      </c>
      <c r="G43" s="55">
        <f>SUM(G44:G45)/2</f>
        <v>29</v>
      </c>
      <c r="H43" s="55">
        <f t="shared" si="12"/>
        <v>0</v>
      </c>
      <c r="I43" s="55">
        <f t="shared" si="12"/>
        <v>14</v>
      </c>
      <c r="J43" s="55">
        <f t="shared" si="12"/>
        <v>38</v>
      </c>
      <c r="K43" s="55">
        <f t="shared" si="12"/>
        <v>37</v>
      </c>
      <c r="L43" s="55">
        <f t="shared" si="12"/>
        <v>13</v>
      </c>
      <c r="M43" s="55">
        <f t="shared" si="12"/>
        <v>2</v>
      </c>
      <c r="N43" s="55">
        <f t="shared" si="12"/>
        <v>0</v>
      </c>
      <c r="O43" s="55">
        <f t="shared" si="12"/>
        <v>0</v>
      </c>
      <c r="P43" s="55">
        <f t="shared" si="12"/>
        <v>0</v>
      </c>
      <c r="Q43" s="55">
        <f t="shared" si="12"/>
        <v>0</v>
      </c>
      <c r="R43" s="55">
        <f t="shared" si="12"/>
        <v>100</v>
      </c>
      <c r="S43" s="55">
        <f t="shared" si="12"/>
        <v>4</v>
      </c>
      <c r="T43" s="55">
        <f t="shared" si="12"/>
        <v>0</v>
      </c>
    </row>
    <row r="44" spans="1:20" s="93" customFormat="1" ht="13.5" customHeight="1">
      <c r="A44" s="556" t="s">
        <v>749</v>
      </c>
      <c r="B44" s="494"/>
      <c r="C44" s="124" t="s">
        <v>703</v>
      </c>
      <c r="D44" s="64">
        <v>8</v>
      </c>
      <c r="E44" s="49">
        <v>8</v>
      </c>
      <c r="F44" s="58">
        <v>0</v>
      </c>
      <c r="G44" s="49">
        <v>29</v>
      </c>
      <c r="H44" s="49">
        <v>0</v>
      </c>
      <c r="I44" s="49">
        <v>1</v>
      </c>
      <c r="J44" s="59">
        <v>3</v>
      </c>
      <c r="K44" s="58">
        <v>3</v>
      </c>
      <c r="L44" s="58">
        <v>1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7</v>
      </c>
      <c r="S44" s="58">
        <v>1</v>
      </c>
      <c r="T44" s="62">
        <v>0</v>
      </c>
    </row>
    <row r="45" spans="1:20" s="93" customFormat="1" ht="13.5" customHeight="1">
      <c r="A45" s="538"/>
      <c r="B45" s="494"/>
      <c r="C45" s="235" t="s">
        <v>704</v>
      </c>
      <c r="D45" s="64">
        <v>96</v>
      </c>
      <c r="E45" s="49">
        <v>96</v>
      </c>
      <c r="F45" s="58">
        <v>0</v>
      </c>
      <c r="G45" s="49">
        <v>29</v>
      </c>
      <c r="H45" s="49">
        <v>0</v>
      </c>
      <c r="I45" s="49">
        <v>13</v>
      </c>
      <c r="J45" s="59">
        <v>35</v>
      </c>
      <c r="K45" s="58">
        <v>34</v>
      </c>
      <c r="L45" s="58">
        <v>12</v>
      </c>
      <c r="M45" s="58">
        <v>2</v>
      </c>
      <c r="N45" s="58">
        <v>0</v>
      </c>
      <c r="O45" s="58">
        <v>0</v>
      </c>
      <c r="P45" s="58">
        <v>0</v>
      </c>
      <c r="Q45" s="58">
        <v>0</v>
      </c>
      <c r="R45" s="58">
        <v>93</v>
      </c>
      <c r="S45" s="58">
        <v>3</v>
      </c>
      <c r="T45" s="62">
        <v>0</v>
      </c>
    </row>
    <row r="46" spans="1:20" s="93" customFormat="1" ht="13.5" customHeight="1">
      <c r="A46" s="538"/>
      <c r="B46" s="507" t="s">
        <v>522</v>
      </c>
      <c r="C46" s="234" t="s">
        <v>702</v>
      </c>
      <c r="D46" s="54">
        <v>4</v>
      </c>
      <c r="E46" s="55">
        <v>4</v>
      </c>
      <c r="F46" s="55">
        <v>0</v>
      </c>
      <c r="G46" s="55">
        <v>29</v>
      </c>
      <c r="H46" s="55">
        <v>0</v>
      </c>
      <c r="I46" s="55">
        <v>0</v>
      </c>
      <c r="J46" s="55">
        <v>2</v>
      </c>
      <c r="K46" s="55">
        <v>2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4</v>
      </c>
      <c r="S46" s="55">
        <v>0</v>
      </c>
      <c r="T46" s="55">
        <v>0</v>
      </c>
    </row>
    <row r="47" spans="1:21" s="93" customFormat="1" ht="13.5" customHeight="1">
      <c r="A47" s="538"/>
      <c r="B47" s="516"/>
      <c r="C47" s="124" t="s">
        <v>703</v>
      </c>
      <c r="D47" s="64">
        <v>1</v>
      </c>
      <c r="E47" s="49">
        <v>1</v>
      </c>
      <c r="F47" s="58">
        <v>0</v>
      </c>
      <c r="G47" s="49">
        <v>31</v>
      </c>
      <c r="H47" s="49">
        <v>0</v>
      </c>
      <c r="I47" s="49">
        <v>0</v>
      </c>
      <c r="J47" s="59">
        <v>0</v>
      </c>
      <c r="K47" s="58">
        <v>1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1</v>
      </c>
      <c r="S47" s="58">
        <v>0</v>
      </c>
      <c r="T47" s="62">
        <v>0</v>
      </c>
      <c r="U47" s="94"/>
    </row>
    <row r="48" spans="1:21" s="93" customFormat="1" ht="13.5" customHeight="1">
      <c r="A48" s="538"/>
      <c r="B48" s="517"/>
      <c r="C48" s="143" t="s">
        <v>704</v>
      </c>
      <c r="D48" s="64">
        <v>3</v>
      </c>
      <c r="E48" s="49">
        <v>3</v>
      </c>
      <c r="F48" s="58">
        <v>0</v>
      </c>
      <c r="G48" s="49">
        <v>28</v>
      </c>
      <c r="H48" s="49">
        <v>0</v>
      </c>
      <c r="I48" s="49">
        <v>0</v>
      </c>
      <c r="J48" s="59">
        <v>2</v>
      </c>
      <c r="K48" s="58">
        <v>1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3</v>
      </c>
      <c r="S48" s="58">
        <v>0</v>
      </c>
      <c r="T48" s="62">
        <v>0</v>
      </c>
      <c r="U48" s="94"/>
    </row>
    <row r="49" s="93" customFormat="1" ht="13.5" customHeight="1">
      <c r="A49" s="268"/>
    </row>
    <row r="50" spans="1:21" s="93" customFormat="1" ht="13.5" customHeight="1">
      <c r="A50" s="268"/>
      <c r="U50" s="94"/>
    </row>
    <row r="51" s="93" customFormat="1" ht="20.25" customHeight="1">
      <c r="U51" s="94"/>
    </row>
    <row r="52" s="85" customFormat="1" ht="13.5" customHeight="1">
      <c r="A52" s="268"/>
    </row>
    <row r="53" s="85" customFormat="1" ht="13.5" customHeight="1">
      <c r="A53" s="268"/>
    </row>
    <row r="54" s="85" customFormat="1" ht="11.25" customHeight="1">
      <c r="A54" s="268"/>
    </row>
    <row r="55" spans="1:20" s="85" customFormat="1" ht="18" customHeight="1">
      <c r="A55" s="535" t="str">
        <f>"- "&amp;Sheet1!Z33&amp;" -"</f>
        <v>- 218 -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 t="str">
        <f>"- "&amp;Sheet1!AA33&amp;" -"</f>
        <v>- 219 -</v>
      </c>
      <c r="L55" s="535"/>
      <c r="M55" s="535"/>
      <c r="N55" s="535"/>
      <c r="O55" s="535"/>
      <c r="P55" s="535"/>
      <c r="Q55" s="535"/>
      <c r="R55" s="535"/>
      <c r="S55" s="535"/>
      <c r="T55" s="535"/>
    </row>
    <row r="56" s="85" customFormat="1" ht="10.5" customHeight="1">
      <c r="A56" s="268"/>
    </row>
    <row r="57" s="85" customFormat="1" ht="15.75" customHeight="1"/>
    <row r="58" spans="1:20" s="85" customFormat="1" ht="13.5" customHeight="1">
      <c r="A58" s="92"/>
      <c r="B58" s="92"/>
      <c r="C58" s="92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s="85" customFormat="1" ht="13.5" customHeight="1">
      <c r="A59" s="92"/>
      <c r="B59" s="92"/>
      <c r="C59" s="92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s="85" customFormat="1" ht="13.5" customHeight="1">
      <c r="A60" s="92"/>
      <c r="B60" s="92"/>
      <c r="C60" s="92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1:20" s="93" customFormat="1" ht="13.5" customHeight="1">
      <c r="A61" s="92"/>
      <c r="B61" s="92"/>
      <c r="C61" s="92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0" s="93" customFormat="1" ht="13.5" customHeight="1">
      <c r="A62" s="92"/>
      <c r="B62" s="92"/>
      <c r="C62" s="92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s="93" customFormat="1" ht="13.5" customHeight="1">
      <c r="A63" s="92"/>
      <c r="B63" s="92"/>
      <c r="C63" s="92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s="93" customFormat="1" ht="13.5" customHeight="1">
      <c r="A64" s="92"/>
      <c r="B64" s="92"/>
      <c r="C64" s="92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</row>
    <row r="65" spans="1:20" s="93" customFormat="1" ht="13.5" customHeight="1">
      <c r="A65" s="92"/>
      <c r="B65" s="92"/>
      <c r="C65" s="92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</row>
    <row r="66" spans="1:20" s="93" customFormat="1" ht="13.5" customHeight="1">
      <c r="A66" s="92"/>
      <c r="B66" s="92"/>
      <c r="C66" s="92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</sheetData>
  <sheetProtection/>
  <mergeCells count="34">
    <mergeCell ref="B31:B33"/>
    <mergeCell ref="B16:B18"/>
    <mergeCell ref="B28:B30"/>
    <mergeCell ref="A28:A39"/>
    <mergeCell ref="B19:B21"/>
    <mergeCell ref="A13:A27"/>
    <mergeCell ref="B34:B36"/>
    <mergeCell ref="B37:B39"/>
    <mergeCell ref="B22:B24"/>
    <mergeCell ref="B25:B27"/>
    <mergeCell ref="B13:B15"/>
    <mergeCell ref="A10:A12"/>
    <mergeCell ref="A40:A43"/>
    <mergeCell ref="F5:F6"/>
    <mergeCell ref="G5:G6"/>
    <mergeCell ref="A5:C6"/>
    <mergeCell ref="B43:B45"/>
    <mergeCell ref="B40:B42"/>
    <mergeCell ref="A7:A9"/>
    <mergeCell ref="B10:B12"/>
    <mergeCell ref="B7:B9"/>
    <mergeCell ref="E5:E6"/>
    <mergeCell ref="K55:T55"/>
    <mergeCell ref="A55:J55"/>
    <mergeCell ref="A44:A48"/>
    <mergeCell ref="B46:B48"/>
    <mergeCell ref="A1:J1"/>
    <mergeCell ref="K1:T1"/>
    <mergeCell ref="K5:P5"/>
    <mergeCell ref="D5:D6"/>
    <mergeCell ref="H5:J5"/>
    <mergeCell ref="C3:I3"/>
    <mergeCell ref="L3:S3"/>
    <mergeCell ref="Q5:T5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S75"/>
  <sheetViews>
    <sheetView view="pageLayout" zoomScaleSheetLayoutView="85" workbookViewId="0" topLeftCell="A41">
      <selection activeCell="A56" sqref="A56:J56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75390625" style="89" customWidth="1"/>
    <col min="18" max="18" width="9.875" style="89" customWidth="1"/>
    <col min="19" max="19" width="8.75390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39" t="s">
        <v>300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301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0" t="s">
        <v>529</v>
      </c>
      <c r="D3" s="461"/>
      <c r="E3" s="461"/>
      <c r="F3" s="461"/>
      <c r="G3" s="461"/>
      <c r="H3" s="461"/>
      <c r="I3" s="461"/>
      <c r="J3" s="4" t="s">
        <v>675</v>
      </c>
      <c r="K3" s="61"/>
      <c r="L3" s="461" t="s">
        <v>530</v>
      </c>
      <c r="M3" s="461"/>
      <c r="N3" s="461"/>
      <c r="O3" s="461"/>
      <c r="P3" s="461"/>
      <c r="Q3" s="461"/>
      <c r="R3" s="461"/>
      <c r="S3" s="461"/>
      <c r="T3" s="138" t="s">
        <v>676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677</v>
      </c>
      <c r="E5" s="507" t="s">
        <v>678</v>
      </c>
      <c r="F5" s="507" t="s">
        <v>679</v>
      </c>
      <c r="G5" s="507" t="s">
        <v>680</v>
      </c>
      <c r="H5" s="495" t="s">
        <v>681</v>
      </c>
      <c r="I5" s="496"/>
      <c r="J5" s="496"/>
      <c r="K5" s="496" t="s">
        <v>682</v>
      </c>
      <c r="L5" s="496"/>
      <c r="M5" s="496"/>
      <c r="N5" s="496"/>
      <c r="O5" s="496"/>
      <c r="P5" s="514"/>
      <c r="Q5" s="495" t="s">
        <v>683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12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700</v>
      </c>
      <c r="R6" s="117" t="s">
        <v>708</v>
      </c>
      <c r="S6" s="117" t="s">
        <v>701</v>
      </c>
      <c r="T6" s="120" t="s">
        <v>711</v>
      </c>
    </row>
    <row r="7" spans="1:45" s="93" customFormat="1" ht="13.5" customHeight="1">
      <c r="A7" s="541" t="s">
        <v>138</v>
      </c>
      <c r="B7" s="534" t="s">
        <v>616</v>
      </c>
      <c r="C7" s="141" t="s">
        <v>687</v>
      </c>
      <c r="D7" s="272">
        <f>SUM(D8:D9)</f>
        <v>37</v>
      </c>
      <c r="E7" s="272">
        <f aca="true" t="shared" si="0" ref="E7:T7">SUM(E8:E9)</f>
        <v>37</v>
      </c>
      <c r="F7" s="272">
        <f t="shared" si="0"/>
        <v>0</v>
      </c>
      <c r="G7" s="272">
        <v>31</v>
      </c>
      <c r="H7" s="272">
        <f t="shared" si="0"/>
        <v>0</v>
      </c>
      <c r="I7" s="272">
        <f t="shared" si="0"/>
        <v>4</v>
      </c>
      <c r="J7" s="272">
        <f t="shared" si="0"/>
        <v>11</v>
      </c>
      <c r="K7" s="272">
        <f t="shared" si="0"/>
        <v>14</v>
      </c>
      <c r="L7" s="272">
        <f t="shared" si="0"/>
        <v>4</v>
      </c>
      <c r="M7" s="272">
        <f t="shared" si="0"/>
        <v>4</v>
      </c>
      <c r="N7" s="272">
        <f t="shared" si="0"/>
        <v>0</v>
      </c>
      <c r="O7" s="272">
        <f t="shared" si="0"/>
        <v>0</v>
      </c>
      <c r="P7" s="272">
        <f t="shared" si="0"/>
        <v>0</v>
      </c>
      <c r="Q7" s="272">
        <f t="shared" si="0"/>
        <v>3</v>
      </c>
      <c r="R7" s="272">
        <f t="shared" si="0"/>
        <v>33</v>
      </c>
      <c r="S7" s="272">
        <f t="shared" si="0"/>
        <v>1</v>
      </c>
      <c r="T7" s="272">
        <f t="shared" si="0"/>
        <v>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542"/>
      <c r="B8" s="567"/>
      <c r="C8" s="143" t="s">
        <v>688</v>
      </c>
      <c r="D8" s="62">
        <v>5</v>
      </c>
      <c r="E8" s="62">
        <v>5</v>
      </c>
      <c r="F8" s="62">
        <v>0</v>
      </c>
      <c r="G8" s="62">
        <v>32</v>
      </c>
      <c r="H8" s="62">
        <v>0</v>
      </c>
      <c r="I8" s="62">
        <v>0</v>
      </c>
      <c r="J8" s="62">
        <v>2</v>
      </c>
      <c r="K8" s="62">
        <v>2</v>
      </c>
      <c r="L8" s="62">
        <v>0</v>
      </c>
      <c r="M8" s="62">
        <v>1</v>
      </c>
      <c r="N8" s="62">
        <v>0</v>
      </c>
      <c r="O8" s="62">
        <v>0</v>
      </c>
      <c r="P8" s="62">
        <v>0</v>
      </c>
      <c r="Q8" s="62">
        <v>1</v>
      </c>
      <c r="R8" s="62">
        <v>4</v>
      </c>
      <c r="S8" s="62">
        <v>0</v>
      </c>
      <c r="T8" s="62">
        <v>0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542"/>
      <c r="B9" s="568"/>
      <c r="C9" s="144" t="s">
        <v>689</v>
      </c>
      <c r="D9" s="62">
        <v>32</v>
      </c>
      <c r="E9" s="62">
        <v>32</v>
      </c>
      <c r="F9" s="62">
        <v>0</v>
      </c>
      <c r="G9" s="62">
        <v>31</v>
      </c>
      <c r="H9" s="62">
        <v>0</v>
      </c>
      <c r="I9" s="62">
        <v>4</v>
      </c>
      <c r="J9" s="62">
        <v>9</v>
      </c>
      <c r="K9" s="62">
        <v>12</v>
      </c>
      <c r="L9" s="62">
        <v>4</v>
      </c>
      <c r="M9" s="62">
        <v>3</v>
      </c>
      <c r="N9" s="62">
        <v>0</v>
      </c>
      <c r="O9" s="62">
        <v>0</v>
      </c>
      <c r="P9" s="62">
        <v>0</v>
      </c>
      <c r="Q9" s="62">
        <v>2</v>
      </c>
      <c r="R9" s="62">
        <v>29</v>
      </c>
      <c r="S9" s="62">
        <v>1</v>
      </c>
      <c r="T9" s="62">
        <v>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s="93" customFormat="1" ht="13.5" customHeight="1">
      <c r="A10" s="542"/>
      <c r="B10" s="534" t="s">
        <v>617</v>
      </c>
      <c r="C10" s="141" t="s">
        <v>687</v>
      </c>
      <c r="D10" s="274">
        <f>SUM(D11:D12)</f>
        <v>20</v>
      </c>
      <c r="E10" s="274">
        <f aca="true" t="shared" si="1" ref="E10:T10">SUM(E11:E12)</f>
        <v>20</v>
      </c>
      <c r="F10" s="274">
        <f t="shared" si="1"/>
        <v>0</v>
      </c>
      <c r="G10" s="274">
        <v>29</v>
      </c>
      <c r="H10" s="274">
        <f t="shared" si="1"/>
        <v>0</v>
      </c>
      <c r="I10" s="274">
        <f t="shared" si="1"/>
        <v>0</v>
      </c>
      <c r="J10" s="274">
        <f t="shared" si="1"/>
        <v>12</v>
      </c>
      <c r="K10" s="274">
        <f t="shared" si="1"/>
        <v>5</v>
      </c>
      <c r="L10" s="274">
        <f t="shared" si="1"/>
        <v>3</v>
      </c>
      <c r="M10" s="274">
        <f t="shared" si="1"/>
        <v>0</v>
      </c>
      <c r="N10" s="274">
        <f t="shared" si="1"/>
        <v>0</v>
      </c>
      <c r="O10" s="274">
        <f t="shared" si="1"/>
        <v>0</v>
      </c>
      <c r="P10" s="274">
        <f t="shared" si="1"/>
        <v>0</v>
      </c>
      <c r="Q10" s="274">
        <f t="shared" si="1"/>
        <v>0</v>
      </c>
      <c r="R10" s="274">
        <f t="shared" si="1"/>
        <v>20</v>
      </c>
      <c r="S10" s="274">
        <f t="shared" si="1"/>
        <v>0</v>
      </c>
      <c r="T10" s="274">
        <f t="shared" si="1"/>
        <v>0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s="93" customFormat="1" ht="13.5" customHeight="1">
      <c r="A11" s="542"/>
      <c r="B11" s="567"/>
      <c r="C11" s="143" t="s">
        <v>688</v>
      </c>
      <c r="D11" s="62">
        <v>5</v>
      </c>
      <c r="E11" s="62">
        <v>5</v>
      </c>
      <c r="F11" s="62">
        <v>0</v>
      </c>
      <c r="G11" s="62">
        <v>30</v>
      </c>
      <c r="H11" s="62">
        <v>0</v>
      </c>
      <c r="I11" s="62">
        <v>0</v>
      </c>
      <c r="J11" s="62">
        <v>3</v>
      </c>
      <c r="K11" s="62">
        <v>1</v>
      </c>
      <c r="L11" s="62">
        <v>1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5</v>
      </c>
      <c r="S11" s="62">
        <v>0</v>
      </c>
      <c r="T11" s="62">
        <v>0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s="93" customFormat="1" ht="13.5" customHeight="1">
      <c r="A12" s="564" t="s">
        <v>145</v>
      </c>
      <c r="B12" s="568"/>
      <c r="C12" s="143" t="s">
        <v>689</v>
      </c>
      <c r="D12" s="62">
        <v>15</v>
      </c>
      <c r="E12" s="62">
        <v>15</v>
      </c>
      <c r="F12" s="62">
        <v>0</v>
      </c>
      <c r="G12" s="62">
        <v>29</v>
      </c>
      <c r="H12" s="62">
        <v>0</v>
      </c>
      <c r="I12" s="62">
        <v>0</v>
      </c>
      <c r="J12" s="62">
        <v>9</v>
      </c>
      <c r="K12" s="62">
        <v>4</v>
      </c>
      <c r="L12" s="62">
        <v>2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15</v>
      </c>
      <c r="S12" s="62">
        <v>0</v>
      </c>
      <c r="T12" s="62"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20" ht="15.75">
      <c r="A13" s="564"/>
      <c r="B13" s="534" t="s">
        <v>163</v>
      </c>
      <c r="C13" s="141" t="s">
        <v>687</v>
      </c>
      <c r="D13" s="274">
        <v>0</v>
      </c>
      <c r="E13" s="274">
        <v>0</v>
      </c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N13" s="274">
        <v>0</v>
      </c>
      <c r="O13" s="274">
        <v>0</v>
      </c>
      <c r="P13" s="274">
        <v>0</v>
      </c>
      <c r="Q13" s="274">
        <v>0</v>
      </c>
      <c r="R13" s="274">
        <v>0</v>
      </c>
      <c r="S13" s="274">
        <v>0</v>
      </c>
      <c r="T13" s="274">
        <v>0</v>
      </c>
    </row>
    <row r="14" spans="1:20" ht="15.75">
      <c r="A14" s="564"/>
      <c r="B14" s="567"/>
      <c r="C14" s="143" t="s">
        <v>688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</row>
    <row r="15" spans="1:20" ht="15.75">
      <c r="A15" s="569"/>
      <c r="B15" s="568"/>
      <c r="C15" s="143" t="s">
        <v>689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</row>
    <row r="16" spans="1:45" s="93" customFormat="1" ht="13.5" customHeight="1">
      <c r="A16" s="541" t="s">
        <v>575</v>
      </c>
      <c r="B16" s="534" t="s">
        <v>137</v>
      </c>
      <c r="C16" s="234" t="s">
        <v>687</v>
      </c>
      <c r="D16" s="271">
        <f aca="true" t="shared" si="2" ref="D16:F18">SUM(D19,D22)</f>
        <v>47</v>
      </c>
      <c r="E16" s="272">
        <f t="shared" si="2"/>
        <v>47</v>
      </c>
      <c r="F16" s="272">
        <f t="shared" si="2"/>
        <v>0</v>
      </c>
      <c r="G16" s="272">
        <f>SUM(G19,G22)/2</f>
        <v>31.25</v>
      </c>
      <c r="H16" s="272">
        <f aca="true" t="shared" si="3" ref="H16:T16">SUM(H19,H22)</f>
        <v>0</v>
      </c>
      <c r="I16" s="272">
        <f t="shared" si="3"/>
        <v>0</v>
      </c>
      <c r="J16" s="272">
        <f t="shared" si="3"/>
        <v>15</v>
      </c>
      <c r="K16" s="272">
        <f t="shared" si="3"/>
        <v>23</v>
      </c>
      <c r="L16" s="272">
        <f t="shared" si="3"/>
        <v>7</v>
      </c>
      <c r="M16" s="272">
        <f t="shared" si="3"/>
        <v>1</v>
      </c>
      <c r="N16" s="272">
        <f t="shared" si="3"/>
        <v>1</v>
      </c>
      <c r="O16" s="272">
        <f t="shared" si="3"/>
        <v>0</v>
      </c>
      <c r="P16" s="272">
        <f t="shared" si="3"/>
        <v>0</v>
      </c>
      <c r="Q16" s="272">
        <f t="shared" si="3"/>
        <v>24</v>
      </c>
      <c r="R16" s="272">
        <f t="shared" si="3"/>
        <v>23</v>
      </c>
      <c r="S16" s="272">
        <f t="shared" si="3"/>
        <v>0</v>
      </c>
      <c r="T16" s="272">
        <f t="shared" si="3"/>
        <v>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s="93" customFormat="1" ht="13.5" customHeight="1">
      <c r="A17" s="542"/>
      <c r="B17" s="516"/>
      <c r="C17" s="124" t="s">
        <v>688</v>
      </c>
      <c r="D17" s="273">
        <f t="shared" si="2"/>
        <v>34</v>
      </c>
      <c r="E17" s="62">
        <f t="shared" si="2"/>
        <v>34</v>
      </c>
      <c r="F17" s="62">
        <f t="shared" si="2"/>
        <v>0</v>
      </c>
      <c r="G17" s="62">
        <v>31</v>
      </c>
      <c r="H17" s="62">
        <f aca="true" t="shared" si="4" ref="H17:T17">SUM(H20,H23)</f>
        <v>0</v>
      </c>
      <c r="I17" s="62">
        <f t="shared" si="4"/>
        <v>0</v>
      </c>
      <c r="J17" s="62">
        <f t="shared" si="4"/>
        <v>11</v>
      </c>
      <c r="K17" s="62">
        <f t="shared" si="4"/>
        <v>17</v>
      </c>
      <c r="L17" s="62">
        <f t="shared" si="4"/>
        <v>5</v>
      </c>
      <c r="M17" s="62">
        <f t="shared" si="4"/>
        <v>0</v>
      </c>
      <c r="N17" s="62">
        <f t="shared" si="4"/>
        <v>1</v>
      </c>
      <c r="O17" s="62">
        <f t="shared" si="4"/>
        <v>0</v>
      </c>
      <c r="P17" s="62">
        <f t="shared" si="4"/>
        <v>0</v>
      </c>
      <c r="Q17" s="62">
        <f t="shared" si="4"/>
        <v>20</v>
      </c>
      <c r="R17" s="62">
        <f t="shared" si="4"/>
        <v>14</v>
      </c>
      <c r="S17" s="62">
        <f t="shared" si="4"/>
        <v>0</v>
      </c>
      <c r="T17" s="62">
        <f t="shared" si="4"/>
        <v>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s="93" customFormat="1" ht="13.5" customHeight="1">
      <c r="A18" s="542"/>
      <c r="B18" s="517"/>
      <c r="C18" s="235" t="s">
        <v>689</v>
      </c>
      <c r="D18" s="273">
        <f t="shared" si="2"/>
        <v>13</v>
      </c>
      <c r="E18" s="62">
        <f t="shared" si="2"/>
        <v>13</v>
      </c>
      <c r="F18" s="62">
        <f t="shared" si="2"/>
        <v>0</v>
      </c>
      <c r="G18" s="62">
        <f>SUM(G21,G24)/2</f>
        <v>31.5</v>
      </c>
      <c r="H18" s="62">
        <f aca="true" t="shared" si="5" ref="H18:T18">SUM(H21,H24)</f>
        <v>0</v>
      </c>
      <c r="I18" s="62">
        <f t="shared" si="5"/>
        <v>0</v>
      </c>
      <c r="J18" s="62">
        <f t="shared" si="5"/>
        <v>4</v>
      </c>
      <c r="K18" s="62">
        <f t="shared" si="5"/>
        <v>6</v>
      </c>
      <c r="L18" s="62">
        <f t="shared" si="5"/>
        <v>2</v>
      </c>
      <c r="M18" s="62">
        <f t="shared" si="5"/>
        <v>1</v>
      </c>
      <c r="N18" s="62">
        <f t="shared" si="5"/>
        <v>0</v>
      </c>
      <c r="O18" s="62">
        <f t="shared" si="5"/>
        <v>0</v>
      </c>
      <c r="P18" s="62">
        <f t="shared" si="5"/>
        <v>0</v>
      </c>
      <c r="Q18" s="62">
        <f t="shared" si="5"/>
        <v>4</v>
      </c>
      <c r="R18" s="62">
        <f t="shared" si="5"/>
        <v>9</v>
      </c>
      <c r="S18" s="62">
        <f t="shared" si="5"/>
        <v>0</v>
      </c>
      <c r="T18" s="62">
        <f t="shared" si="5"/>
        <v>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s="93" customFormat="1" ht="13.5" customHeight="1">
      <c r="A19" s="542"/>
      <c r="B19" s="534" t="s">
        <v>617</v>
      </c>
      <c r="C19" s="234" t="s">
        <v>687</v>
      </c>
      <c r="D19" s="275">
        <v>25</v>
      </c>
      <c r="E19" s="274">
        <v>25</v>
      </c>
      <c r="F19" s="274">
        <v>0</v>
      </c>
      <c r="G19" s="274">
        <f>SUM(G20:G21)/2</f>
        <v>32.5</v>
      </c>
      <c r="H19" s="274">
        <v>0</v>
      </c>
      <c r="I19" s="274">
        <v>0</v>
      </c>
      <c r="J19" s="274">
        <v>6</v>
      </c>
      <c r="K19" s="274">
        <v>12</v>
      </c>
      <c r="L19" s="274">
        <v>5</v>
      </c>
      <c r="M19" s="274">
        <v>1</v>
      </c>
      <c r="N19" s="274">
        <v>1</v>
      </c>
      <c r="O19" s="274">
        <v>0</v>
      </c>
      <c r="P19" s="274">
        <v>0</v>
      </c>
      <c r="Q19" s="274">
        <v>15</v>
      </c>
      <c r="R19" s="274">
        <v>10</v>
      </c>
      <c r="S19" s="274">
        <v>0</v>
      </c>
      <c r="T19" s="274">
        <v>0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s="93" customFormat="1" ht="13.5" customHeight="1">
      <c r="A20" s="542"/>
      <c r="B20" s="567"/>
      <c r="C20" s="124" t="s">
        <v>688</v>
      </c>
      <c r="D20" s="273">
        <v>16</v>
      </c>
      <c r="E20" s="62">
        <v>16</v>
      </c>
      <c r="F20" s="62">
        <v>0</v>
      </c>
      <c r="G20" s="62">
        <v>33</v>
      </c>
      <c r="H20" s="62">
        <v>0</v>
      </c>
      <c r="I20" s="62">
        <v>0</v>
      </c>
      <c r="J20" s="62">
        <v>3</v>
      </c>
      <c r="K20" s="62">
        <v>8</v>
      </c>
      <c r="L20" s="62">
        <v>4</v>
      </c>
      <c r="M20" s="62">
        <v>0</v>
      </c>
      <c r="N20" s="62">
        <v>1</v>
      </c>
      <c r="O20" s="62">
        <v>0</v>
      </c>
      <c r="P20" s="62">
        <v>0</v>
      </c>
      <c r="Q20" s="62">
        <v>13</v>
      </c>
      <c r="R20" s="62">
        <v>3</v>
      </c>
      <c r="S20" s="62">
        <v>0</v>
      </c>
      <c r="T20" s="62"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s="93" customFormat="1" ht="13.5" customHeight="1">
      <c r="A21" s="538" t="s">
        <v>576</v>
      </c>
      <c r="B21" s="568"/>
      <c r="C21" s="235" t="s">
        <v>689</v>
      </c>
      <c r="D21" s="273">
        <v>9</v>
      </c>
      <c r="E21" s="62">
        <v>9</v>
      </c>
      <c r="F21" s="62">
        <v>0</v>
      </c>
      <c r="G21" s="62">
        <v>32</v>
      </c>
      <c r="H21" s="62">
        <v>0</v>
      </c>
      <c r="I21" s="62">
        <v>0</v>
      </c>
      <c r="J21" s="62">
        <v>3</v>
      </c>
      <c r="K21" s="62">
        <v>4</v>
      </c>
      <c r="L21" s="62">
        <v>1</v>
      </c>
      <c r="M21" s="62">
        <v>1</v>
      </c>
      <c r="N21" s="62">
        <v>0</v>
      </c>
      <c r="O21" s="62">
        <v>0</v>
      </c>
      <c r="P21" s="62">
        <v>0</v>
      </c>
      <c r="Q21" s="62">
        <v>2</v>
      </c>
      <c r="R21" s="62">
        <v>7</v>
      </c>
      <c r="S21" s="62">
        <v>0</v>
      </c>
      <c r="T21" s="62">
        <v>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s="93" customFormat="1" ht="13.5" customHeight="1">
      <c r="A22" s="538"/>
      <c r="B22" s="534" t="s">
        <v>618</v>
      </c>
      <c r="C22" s="234" t="s">
        <v>687</v>
      </c>
      <c r="D22" s="275">
        <v>22</v>
      </c>
      <c r="E22" s="274">
        <v>22</v>
      </c>
      <c r="F22" s="274">
        <v>0</v>
      </c>
      <c r="G22" s="274">
        <v>30</v>
      </c>
      <c r="H22" s="274">
        <v>0</v>
      </c>
      <c r="I22" s="274">
        <v>0</v>
      </c>
      <c r="J22" s="274">
        <v>9</v>
      </c>
      <c r="K22" s="274">
        <v>11</v>
      </c>
      <c r="L22" s="274">
        <v>2</v>
      </c>
      <c r="M22" s="274">
        <v>0</v>
      </c>
      <c r="N22" s="274">
        <v>0</v>
      </c>
      <c r="O22" s="274">
        <v>0</v>
      </c>
      <c r="P22" s="274">
        <v>0</v>
      </c>
      <c r="Q22" s="274">
        <v>9</v>
      </c>
      <c r="R22" s="274">
        <v>13</v>
      </c>
      <c r="S22" s="274">
        <v>0</v>
      </c>
      <c r="T22" s="274">
        <v>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s="93" customFormat="1" ht="13.5" customHeight="1">
      <c r="A23" s="538"/>
      <c r="B23" s="567"/>
      <c r="C23" s="124" t="s">
        <v>688</v>
      </c>
      <c r="D23" s="273">
        <v>18</v>
      </c>
      <c r="E23" s="62">
        <v>18</v>
      </c>
      <c r="F23" s="62">
        <v>0</v>
      </c>
      <c r="G23" s="62">
        <v>30</v>
      </c>
      <c r="H23" s="62">
        <v>0</v>
      </c>
      <c r="I23" s="62">
        <v>0</v>
      </c>
      <c r="J23" s="62">
        <v>8</v>
      </c>
      <c r="K23" s="62">
        <v>9</v>
      </c>
      <c r="L23" s="62">
        <v>1</v>
      </c>
      <c r="M23" s="62">
        <v>0</v>
      </c>
      <c r="N23" s="62">
        <v>0</v>
      </c>
      <c r="O23" s="62">
        <v>0</v>
      </c>
      <c r="P23" s="62">
        <v>0</v>
      </c>
      <c r="Q23" s="62">
        <v>7</v>
      </c>
      <c r="R23" s="62">
        <v>11</v>
      </c>
      <c r="S23" s="62">
        <v>0</v>
      </c>
      <c r="T23" s="62">
        <v>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s="93" customFormat="1" ht="13.5" customHeight="1">
      <c r="A24" s="538"/>
      <c r="B24" s="568"/>
      <c r="C24" s="235" t="s">
        <v>689</v>
      </c>
      <c r="D24" s="273">
        <v>4</v>
      </c>
      <c r="E24" s="62">
        <v>4</v>
      </c>
      <c r="F24" s="62">
        <v>0</v>
      </c>
      <c r="G24" s="62">
        <v>31</v>
      </c>
      <c r="H24" s="62">
        <v>0</v>
      </c>
      <c r="I24" s="62">
        <v>0</v>
      </c>
      <c r="J24" s="62">
        <v>1</v>
      </c>
      <c r="K24" s="62">
        <v>2</v>
      </c>
      <c r="L24" s="62">
        <v>1</v>
      </c>
      <c r="M24" s="62">
        <v>0</v>
      </c>
      <c r="N24" s="62">
        <v>0</v>
      </c>
      <c r="O24" s="62">
        <v>0</v>
      </c>
      <c r="P24" s="62">
        <v>0</v>
      </c>
      <c r="Q24" s="62">
        <v>2</v>
      </c>
      <c r="R24" s="62">
        <v>2</v>
      </c>
      <c r="S24" s="62">
        <v>0</v>
      </c>
      <c r="T24" s="62">
        <v>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s="93" customFormat="1" ht="13.5" customHeight="1">
      <c r="A25" s="538"/>
      <c r="B25" s="534" t="s">
        <v>163</v>
      </c>
      <c r="C25" s="234" t="s">
        <v>687</v>
      </c>
      <c r="D25" s="275">
        <v>0</v>
      </c>
      <c r="E25" s="274">
        <v>0</v>
      </c>
      <c r="F25" s="274">
        <v>0</v>
      </c>
      <c r="G25" s="274">
        <v>0</v>
      </c>
      <c r="H25" s="274">
        <v>0</v>
      </c>
      <c r="I25" s="274">
        <v>0</v>
      </c>
      <c r="J25" s="274">
        <v>0</v>
      </c>
      <c r="K25" s="274">
        <v>0</v>
      </c>
      <c r="L25" s="274">
        <v>0</v>
      </c>
      <c r="M25" s="274">
        <v>0</v>
      </c>
      <c r="N25" s="274">
        <v>0</v>
      </c>
      <c r="O25" s="274">
        <v>0</v>
      </c>
      <c r="P25" s="274">
        <v>0</v>
      </c>
      <c r="Q25" s="274">
        <v>0</v>
      </c>
      <c r="R25" s="274">
        <v>0</v>
      </c>
      <c r="S25" s="274">
        <v>0</v>
      </c>
      <c r="T25" s="274">
        <v>0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s="93" customFormat="1" ht="13.5" customHeight="1">
      <c r="A26" s="538"/>
      <c r="B26" s="567"/>
      <c r="C26" s="124" t="s">
        <v>688</v>
      </c>
      <c r="D26" s="273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s="93" customFormat="1" ht="13.5" customHeight="1">
      <c r="A27" s="538"/>
      <c r="B27" s="568"/>
      <c r="C27" s="235" t="s">
        <v>689</v>
      </c>
      <c r="D27" s="273">
        <v>0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77">
        <v>0</v>
      </c>
      <c r="S27" s="277">
        <v>0</v>
      </c>
      <c r="T27" s="62">
        <v>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s="93" customFormat="1" ht="13.5" customHeight="1">
      <c r="A28" s="541" t="s">
        <v>577</v>
      </c>
      <c r="B28" s="534" t="s">
        <v>518</v>
      </c>
      <c r="C28" s="234" t="s">
        <v>687</v>
      </c>
      <c r="D28" s="140">
        <f>SUM(D31,D34,D37)</f>
        <v>68</v>
      </c>
      <c r="E28" s="56">
        <f aca="true" t="shared" si="6" ref="E28:T28">SUM(E31,E34,E37)</f>
        <v>68</v>
      </c>
      <c r="F28" s="56">
        <f t="shared" si="6"/>
        <v>0</v>
      </c>
      <c r="G28" s="56">
        <v>39</v>
      </c>
      <c r="H28" s="56">
        <f t="shared" si="6"/>
        <v>0</v>
      </c>
      <c r="I28" s="56">
        <f t="shared" si="6"/>
        <v>0</v>
      </c>
      <c r="J28" s="56">
        <f t="shared" si="6"/>
        <v>9</v>
      </c>
      <c r="K28" s="56">
        <f t="shared" si="6"/>
        <v>13</v>
      </c>
      <c r="L28" s="56">
        <f t="shared" si="6"/>
        <v>14</v>
      </c>
      <c r="M28" s="56">
        <f t="shared" si="6"/>
        <v>16</v>
      </c>
      <c r="N28" s="56">
        <f t="shared" si="6"/>
        <v>9</v>
      </c>
      <c r="O28" s="56">
        <f t="shared" si="6"/>
        <v>3</v>
      </c>
      <c r="P28" s="56">
        <f t="shared" si="6"/>
        <v>4</v>
      </c>
      <c r="Q28" s="56">
        <f t="shared" si="6"/>
        <v>0</v>
      </c>
      <c r="R28" s="56">
        <f t="shared" si="6"/>
        <v>67</v>
      </c>
      <c r="S28" s="56">
        <f t="shared" si="6"/>
        <v>1</v>
      </c>
      <c r="T28" s="56">
        <f t="shared" si="6"/>
        <v>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s="93" customFormat="1" ht="13.5" customHeight="1">
      <c r="A29" s="542"/>
      <c r="B29" s="516"/>
      <c r="C29" s="124" t="s">
        <v>688</v>
      </c>
      <c r="D29" s="24">
        <f>SUM(D32,D35,D38)</f>
        <v>66</v>
      </c>
      <c r="E29" s="10">
        <f aca="true" t="shared" si="7" ref="E29:T29">SUM(E32,E35,E38)</f>
        <v>66</v>
      </c>
      <c r="F29" s="10">
        <f t="shared" si="7"/>
        <v>0</v>
      </c>
      <c r="G29" s="10">
        <v>39</v>
      </c>
      <c r="H29" s="10">
        <f t="shared" si="7"/>
        <v>0</v>
      </c>
      <c r="I29" s="10">
        <f t="shared" si="7"/>
        <v>0</v>
      </c>
      <c r="J29" s="10">
        <f t="shared" si="7"/>
        <v>8</v>
      </c>
      <c r="K29" s="10">
        <f t="shared" si="7"/>
        <v>13</v>
      </c>
      <c r="L29" s="10">
        <f t="shared" si="7"/>
        <v>13</v>
      </c>
      <c r="M29" s="10">
        <f t="shared" si="7"/>
        <v>16</v>
      </c>
      <c r="N29" s="10">
        <f t="shared" si="7"/>
        <v>9</v>
      </c>
      <c r="O29" s="10">
        <f t="shared" si="7"/>
        <v>3</v>
      </c>
      <c r="P29" s="10">
        <f t="shared" si="7"/>
        <v>4</v>
      </c>
      <c r="Q29" s="10">
        <f t="shared" si="7"/>
        <v>0</v>
      </c>
      <c r="R29" s="10">
        <f t="shared" si="7"/>
        <v>65</v>
      </c>
      <c r="S29" s="10">
        <f t="shared" si="7"/>
        <v>1</v>
      </c>
      <c r="T29" s="10">
        <f t="shared" si="7"/>
        <v>0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s="93" customFormat="1" ht="13.5" customHeight="1">
      <c r="A30" s="542"/>
      <c r="B30" s="517"/>
      <c r="C30" s="235" t="s">
        <v>689</v>
      </c>
      <c r="D30" s="24">
        <f>SUM(D33,D36,D39)</f>
        <v>2</v>
      </c>
      <c r="E30" s="10">
        <f aca="true" t="shared" si="8" ref="E30:T30">SUM(E33,E36,E39)</f>
        <v>2</v>
      </c>
      <c r="F30" s="10">
        <f t="shared" si="8"/>
        <v>0</v>
      </c>
      <c r="G30" s="10">
        <f>SUM(G33,G36,G39)</f>
        <v>33</v>
      </c>
      <c r="H30" s="10">
        <f t="shared" si="8"/>
        <v>0</v>
      </c>
      <c r="I30" s="10">
        <f t="shared" si="8"/>
        <v>0</v>
      </c>
      <c r="J30" s="10">
        <f t="shared" si="8"/>
        <v>1</v>
      </c>
      <c r="K30" s="10">
        <f t="shared" si="8"/>
        <v>0</v>
      </c>
      <c r="L30" s="10">
        <f t="shared" si="8"/>
        <v>1</v>
      </c>
      <c r="M30" s="10">
        <f t="shared" si="8"/>
        <v>0</v>
      </c>
      <c r="N30" s="10">
        <f t="shared" si="8"/>
        <v>0</v>
      </c>
      <c r="O30" s="10">
        <f t="shared" si="8"/>
        <v>0</v>
      </c>
      <c r="P30" s="10">
        <f t="shared" si="8"/>
        <v>0</v>
      </c>
      <c r="Q30" s="10">
        <f t="shared" si="8"/>
        <v>0</v>
      </c>
      <c r="R30" s="10">
        <f t="shared" si="8"/>
        <v>2</v>
      </c>
      <c r="S30" s="10">
        <f t="shared" si="8"/>
        <v>0</v>
      </c>
      <c r="T30" s="10">
        <f t="shared" si="8"/>
        <v>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20" s="93" customFormat="1" ht="13.5" customHeight="1">
      <c r="A31" s="542"/>
      <c r="B31" s="491" t="s">
        <v>533</v>
      </c>
      <c r="C31" s="234" t="s">
        <v>687</v>
      </c>
      <c r="D31" s="54">
        <f>SUM(D32:D33)</f>
        <v>66</v>
      </c>
      <c r="E31" s="55">
        <v>66</v>
      </c>
      <c r="F31" s="55">
        <v>0</v>
      </c>
      <c r="G31" s="55">
        <v>39</v>
      </c>
      <c r="H31" s="55">
        <v>0</v>
      </c>
      <c r="I31" s="55">
        <v>0</v>
      </c>
      <c r="J31" s="55">
        <v>8</v>
      </c>
      <c r="K31" s="55">
        <v>12</v>
      </c>
      <c r="L31" s="55">
        <v>14</v>
      </c>
      <c r="M31" s="55">
        <v>16</v>
      </c>
      <c r="N31" s="55">
        <v>9</v>
      </c>
      <c r="O31" s="55">
        <v>3</v>
      </c>
      <c r="P31" s="55">
        <v>4</v>
      </c>
      <c r="Q31" s="55">
        <v>0</v>
      </c>
      <c r="R31" s="55">
        <v>65</v>
      </c>
      <c r="S31" s="55">
        <v>1</v>
      </c>
      <c r="T31" s="55">
        <v>0</v>
      </c>
    </row>
    <row r="32" spans="1:20" s="93" customFormat="1" ht="13.5" customHeight="1">
      <c r="A32" s="542"/>
      <c r="B32" s="492"/>
      <c r="C32" s="124" t="s">
        <v>688</v>
      </c>
      <c r="D32" s="64">
        <v>64</v>
      </c>
      <c r="E32" s="49">
        <v>64</v>
      </c>
      <c r="F32" s="58">
        <v>0</v>
      </c>
      <c r="G32" s="49">
        <v>39</v>
      </c>
      <c r="H32" s="49">
        <v>0</v>
      </c>
      <c r="I32" s="49">
        <v>0</v>
      </c>
      <c r="J32" s="59">
        <v>7</v>
      </c>
      <c r="K32" s="58">
        <v>12</v>
      </c>
      <c r="L32" s="58">
        <v>13</v>
      </c>
      <c r="M32" s="58">
        <v>16</v>
      </c>
      <c r="N32" s="58">
        <v>9</v>
      </c>
      <c r="O32" s="58">
        <v>3</v>
      </c>
      <c r="P32" s="58">
        <v>4</v>
      </c>
      <c r="Q32" s="58">
        <v>0</v>
      </c>
      <c r="R32" s="58">
        <v>63</v>
      </c>
      <c r="S32" s="58">
        <v>1</v>
      </c>
      <c r="T32" s="58">
        <v>0</v>
      </c>
    </row>
    <row r="33" spans="1:20" s="93" customFormat="1" ht="13.5" customHeight="1">
      <c r="A33" s="542"/>
      <c r="B33" s="493"/>
      <c r="C33" s="235" t="s">
        <v>689</v>
      </c>
      <c r="D33" s="64">
        <v>2</v>
      </c>
      <c r="E33" s="49">
        <v>2</v>
      </c>
      <c r="F33" s="58">
        <v>0</v>
      </c>
      <c r="G33" s="49">
        <v>33</v>
      </c>
      <c r="H33" s="49">
        <v>0</v>
      </c>
      <c r="I33" s="49">
        <v>0</v>
      </c>
      <c r="J33" s="59">
        <v>1</v>
      </c>
      <c r="K33" s="58">
        <v>0</v>
      </c>
      <c r="L33" s="58">
        <v>1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2</v>
      </c>
      <c r="S33" s="58">
        <v>0</v>
      </c>
      <c r="T33" s="58">
        <v>0</v>
      </c>
    </row>
    <row r="34" spans="1:20" s="93" customFormat="1" ht="13.5" customHeight="1">
      <c r="A34" s="538" t="s">
        <v>578</v>
      </c>
      <c r="B34" s="491" t="s">
        <v>534</v>
      </c>
      <c r="C34" s="234" t="s">
        <v>687</v>
      </c>
      <c r="D34" s="54">
        <v>1</v>
      </c>
      <c r="E34" s="55">
        <v>1</v>
      </c>
      <c r="F34" s="55">
        <v>0</v>
      </c>
      <c r="G34" s="55">
        <v>30</v>
      </c>
      <c r="H34" s="55">
        <v>0</v>
      </c>
      <c r="I34" s="55">
        <v>0</v>
      </c>
      <c r="J34" s="55">
        <v>0</v>
      </c>
      <c r="K34" s="55">
        <v>1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1</v>
      </c>
      <c r="S34" s="55">
        <v>0</v>
      </c>
      <c r="T34" s="55">
        <v>0</v>
      </c>
    </row>
    <row r="35" spans="1:20" s="93" customFormat="1" ht="13.5" customHeight="1">
      <c r="A35" s="538"/>
      <c r="B35" s="492"/>
      <c r="C35" s="124" t="s">
        <v>688</v>
      </c>
      <c r="D35" s="64">
        <v>1</v>
      </c>
      <c r="E35" s="49">
        <v>1</v>
      </c>
      <c r="F35" s="58">
        <v>0</v>
      </c>
      <c r="G35" s="49">
        <v>30</v>
      </c>
      <c r="H35" s="49">
        <v>0</v>
      </c>
      <c r="I35" s="49">
        <v>0</v>
      </c>
      <c r="J35" s="59">
        <v>0</v>
      </c>
      <c r="K35" s="58">
        <v>1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1</v>
      </c>
      <c r="S35" s="58">
        <v>0</v>
      </c>
      <c r="T35" s="62">
        <v>0</v>
      </c>
    </row>
    <row r="36" spans="1:20" s="93" customFormat="1" ht="13.5" customHeight="1">
      <c r="A36" s="538"/>
      <c r="B36" s="493"/>
      <c r="C36" s="235" t="s">
        <v>689</v>
      </c>
      <c r="D36" s="64">
        <v>0</v>
      </c>
      <c r="E36" s="49">
        <v>0</v>
      </c>
      <c r="F36" s="58">
        <v>0</v>
      </c>
      <c r="G36" s="49">
        <v>0</v>
      </c>
      <c r="H36" s="49">
        <v>0</v>
      </c>
      <c r="I36" s="49">
        <v>0</v>
      </c>
      <c r="J36" s="59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62">
        <v>0</v>
      </c>
    </row>
    <row r="37" spans="1:20" s="93" customFormat="1" ht="13.5" customHeight="1">
      <c r="A37" s="538"/>
      <c r="B37" s="491" t="s">
        <v>536</v>
      </c>
      <c r="C37" s="234" t="s">
        <v>687</v>
      </c>
      <c r="D37" s="54">
        <v>1</v>
      </c>
      <c r="E37" s="55">
        <v>1</v>
      </c>
      <c r="F37" s="55">
        <v>0</v>
      </c>
      <c r="G37" s="55">
        <v>27</v>
      </c>
      <c r="H37" s="55">
        <v>0</v>
      </c>
      <c r="I37" s="55">
        <v>0</v>
      </c>
      <c r="J37" s="55">
        <v>1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1</v>
      </c>
      <c r="S37" s="55">
        <v>0</v>
      </c>
      <c r="T37" s="55">
        <v>0</v>
      </c>
    </row>
    <row r="38" spans="1:20" s="93" customFormat="1" ht="13.5" customHeight="1">
      <c r="A38" s="538"/>
      <c r="B38" s="492"/>
      <c r="C38" s="124" t="s">
        <v>688</v>
      </c>
      <c r="D38" s="64">
        <v>1</v>
      </c>
      <c r="E38" s="49">
        <v>1</v>
      </c>
      <c r="F38" s="49">
        <v>0</v>
      </c>
      <c r="G38" s="49">
        <v>27</v>
      </c>
      <c r="H38" s="49">
        <v>0</v>
      </c>
      <c r="I38" s="49">
        <v>0</v>
      </c>
      <c r="J38" s="49">
        <v>1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1</v>
      </c>
      <c r="S38" s="49">
        <v>0</v>
      </c>
      <c r="T38" s="49">
        <v>0</v>
      </c>
    </row>
    <row r="39" spans="1:20" s="93" customFormat="1" ht="13.5" customHeight="1">
      <c r="A39" s="538"/>
      <c r="B39" s="492"/>
      <c r="C39" s="235" t="s">
        <v>689</v>
      </c>
      <c r="D39" s="64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</row>
    <row r="40" spans="1:20" s="93" customFormat="1" ht="13.5" customHeight="1">
      <c r="A40" s="557" t="s">
        <v>579</v>
      </c>
      <c r="B40" s="536" t="s">
        <v>518</v>
      </c>
      <c r="C40" s="234" t="s">
        <v>687</v>
      </c>
      <c r="D40" s="140">
        <f aca="true" t="shared" si="9" ref="D40:T40">SUM(D43,D46)</f>
        <v>86</v>
      </c>
      <c r="E40" s="56">
        <f t="shared" si="9"/>
        <v>86</v>
      </c>
      <c r="F40" s="56">
        <f t="shared" si="9"/>
        <v>0</v>
      </c>
      <c r="G40" s="56">
        <v>31</v>
      </c>
      <c r="H40" s="56">
        <f t="shared" si="9"/>
        <v>0</v>
      </c>
      <c r="I40" s="56">
        <f t="shared" si="9"/>
        <v>4</v>
      </c>
      <c r="J40" s="56">
        <f t="shared" si="9"/>
        <v>41</v>
      </c>
      <c r="K40" s="56">
        <f t="shared" si="9"/>
        <v>22</v>
      </c>
      <c r="L40" s="56">
        <f t="shared" si="9"/>
        <v>9</v>
      </c>
      <c r="M40" s="56">
        <f t="shared" si="9"/>
        <v>6</v>
      </c>
      <c r="N40" s="56">
        <f t="shared" si="9"/>
        <v>4</v>
      </c>
      <c r="O40" s="56">
        <f t="shared" si="9"/>
        <v>0</v>
      </c>
      <c r="P40" s="56">
        <f t="shared" si="9"/>
        <v>0</v>
      </c>
      <c r="Q40" s="56">
        <f t="shared" si="9"/>
        <v>68</v>
      </c>
      <c r="R40" s="56">
        <f t="shared" si="9"/>
        <v>18</v>
      </c>
      <c r="S40" s="56">
        <f t="shared" si="9"/>
        <v>0</v>
      </c>
      <c r="T40" s="56">
        <f t="shared" si="9"/>
        <v>0</v>
      </c>
    </row>
    <row r="41" spans="1:20" s="93" customFormat="1" ht="13.5" customHeight="1">
      <c r="A41" s="558"/>
      <c r="B41" s="492"/>
      <c r="C41" s="124" t="s">
        <v>688</v>
      </c>
      <c r="D41" s="24">
        <f aca="true" t="shared" si="10" ref="D41:S42">SUM(D44,D47)</f>
        <v>71</v>
      </c>
      <c r="E41" s="10">
        <f t="shared" si="10"/>
        <v>71</v>
      </c>
      <c r="F41" s="10">
        <f t="shared" si="10"/>
        <v>0</v>
      </c>
      <c r="G41" s="10">
        <v>32</v>
      </c>
      <c r="H41" s="10">
        <f t="shared" si="10"/>
        <v>0</v>
      </c>
      <c r="I41" s="10">
        <f t="shared" si="10"/>
        <v>1</v>
      </c>
      <c r="J41" s="10">
        <f t="shared" si="10"/>
        <v>32</v>
      </c>
      <c r="K41" s="10">
        <f t="shared" si="10"/>
        <v>20</v>
      </c>
      <c r="L41" s="10">
        <f t="shared" si="10"/>
        <v>9</v>
      </c>
      <c r="M41" s="10">
        <f t="shared" si="10"/>
        <v>5</v>
      </c>
      <c r="N41" s="10">
        <f t="shared" si="10"/>
        <v>4</v>
      </c>
      <c r="O41" s="10">
        <f t="shared" si="10"/>
        <v>0</v>
      </c>
      <c r="P41" s="10">
        <f t="shared" si="10"/>
        <v>0</v>
      </c>
      <c r="Q41" s="10">
        <f t="shared" si="10"/>
        <v>58</v>
      </c>
      <c r="R41" s="10">
        <f t="shared" si="10"/>
        <v>13</v>
      </c>
      <c r="S41" s="10">
        <f t="shared" si="10"/>
        <v>0</v>
      </c>
      <c r="T41" s="10">
        <f>SUM(T44,T47)</f>
        <v>0</v>
      </c>
    </row>
    <row r="42" spans="1:20" s="93" customFormat="1" ht="13.5" customHeight="1">
      <c r="A42" s="558"/>
      <c r="B42" s="492"/>
      <c r="C42" s="235" t="s">
        <v>689</v>
      </c>
      <c r="D42" s="24">
        <f t="shared" si="10"/>
        <v>15</v>
      </c>
      <c r="E42" s="10">
        <f t="shared" si="10"/>
        <v>15</v>
      </c>
      <c r="F42" s="10">
        <f t="shared" si="10"/>
        <v>0</v>
      </c>
      <c r="G42" s="10">
        <f t="shared" si="10"/>
        <v>27</v>
      </c>
      <c r="H42" s="10">
        <f t="shared" si="10"/>
        <v>0</v>
      </c>
      <c r="I42" s="10">
        <f t="shared" si="10"/>
        <v>3</v>
      </c>
      <c r="J42" s="10">
        <f t="shared" si="10"/>
        <v>9</v>
      </c>
      <c r="K42" s="10">
        <f t="shared" si="10"/>
        <v>2</v>
      </c>
      <c r="L42" s="10">
        <f t="shared" si="10"/>
        <v>0</v>
      </c>
      <c r="M42" s="10">
        <f t="shared" si="10"/>
        <v>1</v>
      </c>
      <c r="N42" s="10">
        <f t="shared" si="10"/>
        <v>0</v>
      </c>
      <c r="O42" s="10">
        <f t="shared" si="10"/>
        <v>0</v>
      </c>
      <c r="P42" s="10">
        <f t="shared" si="10"/>
        <v>0</v>
      </c>
      <c r="Q42" s="10">
        <f t="shared" si="10"/>
        <v>10</v>
      </c>
      <c r="R42" s="10">
        <f t="shared" si="10"/>
        <v>5</v>
      </c>
      <c r="S42" s="10">
        <f t="shared" si="10"/>
        <v>0</v>
      </c>
      <c r="T42" s="10">
        <f>SUM(T45,T48)</f>
        <v>0</v>
      </c>
    </row>
    <row r="43" spans="1:20" s="93" customFormat="1" ht="13.5" customHeight="1">
      <c r="A43" s="558"/>
      <c r="B43" s="491" t="s">
        <v>536</v>
      </c>
      <c r="C43" s="234" t="s">
        <v>687</v>
      </c>
      <c r="D43" s="54">
        <f>SUM(D44:D45)</f>
        <v>85</v>
      </c>
      <c r="E43" s="55">
        <f aca="true" t="shared" si="11" ref="E43:T43">SUM(E44:E45)</f>
        <v>85</v>
      </c>
      <c r="F43" s="55">
        <f t="shared" si="11"/>
        <v>0</v>
      </c>
      <c r="G43" s="55">
        <v>31</v>
      </c>
      <c r="H43" s="55">
        <f t="shared" si="11"/>
        <v>0</v>
      </c>
      <c r="I43" s="55">
        <f t="shared" si="11"/>
        <v>4</v>
      </c>
      <c r="J43" s="55">
        <f t="shared" si="11"/>
        <v>40</v>
      </c>
      <c r="K43" s="55">
        <f t="shared" si="11"/>
        <v>22</v>
      </c>
      <c r="L43" s="55">
        <f t="shared" si="11"/>
        <v>9</v>
      </c>
      <c r="M43" s="55">
        <f t="shared" si="11"/>
        <v>6</v>
      </c>
      <c r="N43" s="55">
        <f t="shared" si="11"/>
        <v>4</v>
      </c>
      <c r="O43" s="55">
        <f t="shared" si="11"/>
        <v>0</v>
      </c>
      <c r="P43" s="55">
        <f t="shared" si="11"/>
        <v>0</v>
      </c>
      <c r="Q43" s="55">
        <f t="shared" si="11"/>
        <v>68</v>
      </c>
      <c r="R43" s="55">
        <f t="shared" si="11"/>
        <v>17</v>
      </c>
      <c r="S43" s="55">
        <f t="shared" si="11"/>
        <v>0</v>
      </c>
      <c r="T43" s="55">
        <f t="shared" si="11"/>
        <v>0</v>
      </c>
    </row>
    <row r="44" spans="1:20" s="93" customFormat="1" ht="13.5" customHeight="1">
      <c r="A44" s="556" t="s">
        <v>749</v>
      </c>
      <c r="B44" s="492"/>
      <c r="C44" s="124" t="s">
        <v>688</v>
      </c>
      <c r="D44" s="64">
        <v>70</v>
      </c>
      <c r="E44" s="49">
        <v>70</v>
      </c>
      <c r="F44" s="58">
        <v>0</v>
      </c>
      <c r="G44" s="49">
        <v>32</v>
      </c>
      <c r="H44" s="49">
        <v>0</v>
      </c>
      <c r="I44" s="49">
        <v>1</v>
      </c>
      <c r="J44" s="59">
        <v>31</v>
      </c>
      <c r="K44" s="58">
        <v>20</v>
      </c>
      <c r="L44" s="58">
        <v>9</v>
      </c>
      <c r="M44" s="58">
        <v>5</v>
      </c>
      <c r="N44" s="58">
        <v>4</v>
      </c>
      <c r="O44" s="58">
        <v>0</v>
      </c>
      <c r="P44" s="58">
        <v>0</v>
      </c>
      <c r="Q44" s="58">
        <v>58</v>
      </c>
      <c r="R44" s="58">
        <v>12</v>
      </c>
      <c r="S44" s="58">
        <v>0</v>
      </c>
      <c r="T44" s="58">
        <v>0</v>
      </c>
    </row>
    <row r="45" spans="1:20" s="93" customFormat="1" ht="13.5" customHeight="1">
      <c r="A45" s="538"/>
      <c r="B45" s="492"/>
      <c r="C45" s="235" t="s">
        <v>689</v>
      </c>
      <c r="D45" s="64">
        <v>15</v>
      </c>
      <c r="E45" s="49">
        <v>15</v>
      </c>
      <c r="F45" s="58">
        <v>0</v>
      </c>
      <c r="G45" s="49">
        <v>27</v>
      </c>
      <c r="H45" s="49">
        <v>0</v>
      </c>
      <c r="I45" s="49">
        <v>3</v>
      </c>
      <c r="J45" s="59">
        <v>9</v>
      </c>
      <c r="K45" s="58">
        <v>2</v>
      </c>
      <c r="L45" s="58">
        <v>0</v>
      </c>
      <c r="M45" s="58">
        <v>1</v>
      </c>
      <c r="N45" s="58">
        <v>0</v>
      </c>
      <c r="O45" s="58">
        <v>0</v>
      </c>
      <c r="P45" s="58">
        <v>0</v>
      </c>
      <c r="Q45" s="58">
        <v>10</v>
      </c>
      <c r="R45" s="58">
        <v>5</v>
      </c>
      <c r="S45" s="58">
        <v>0</v>
      </c>
      <c r="T45" s="58">
        <v>0</v>
      </c>
    </row>
    <row r="46" spans="1:20" s="93" customFormat="1" ht="13.5" customHeight="1">
      <c r="A46" s="538"/>
      <c r="B46" s="491" t="s">
        <v>139</v>
      </c>
      <c r="C46" s="234" t="s">
        <v>687</v>
      </c>
      <c r="D46" s="54">
        <v>1</v>
      </c>
      <c r="E46" s="55">
        <v>1</v>
      </c>
      <c r="F46" s="55">
        <v>0</v>
      </c>
      <c r="G46" s="55">
        <v>27</v>
      </c>
      <c r="H46" s="55">
        <v>0</v>
      </c>
      <c r="I46" s="55">
        <v>0</v>
      </c>
      <c r="J46" s="55">
        <v>1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1</v>
      </c>
      <c r="S46" s="55">
        <v>0</v>
      </c>
      <c r="T46" s="55">
        <v>0</v>
      </c>
    </row>
    <row r="47" spans="1:20" s="93" customFormat="1" ht="13.5" customHeight="1">
      <c r="A47" s="538"/>
      <c r="B47" s="492"/>
      <c r="C47" s="124" t="s">
        <v>688</v>
      </c>
      <c r="D47" s="64">
        <v>1</v>
      </c>
      <c r="E47" s="49">
        <v>1</v>
      </c>
      <c r="F47" s="49">
        <v>0</v>
      </c>
      <c r="G47" s="49">
        <v>27</v>
      </c>
      <c r="H47" s="49">
        <v>0</v>
      </c>
      <c r="I47" s="49">
        <v>0</v>
      </c>
      <c r="J47" s="49">
        <v>1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1</v>
      </c>
      <c r="S47" s="49">
        <v>0</v>
      </c>
      <c r="T47" s="49">
        <v>0</v>
      </c>
    </row>
    <row r="48" spans="1:20" s="93" customFormat="1" ht="13.5" customHeight="1">
      <c r="A48" s="545"/>
      <c r="B48" s="492"/>
      <c r="C48" s="235" t="s">
        <v>689</v>
      </c>
      <c r="D48" s="64">
        <v>0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49">
        <v>0</v>
      </c>
    </row>
    <row r="49" spans="1:20" ht="12" customHeight="1">
      <c r="A49" s="246"/>
      <c r="B49" s="246"/>
      <c r="C49" s="246"/>
      <c r="D49" s="246"/>
      <c r="E49" s="246"/>
      <c r="F49" s="246"/>
      <c r="G49" s="246"/>
      <c r="H49" s="246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6"/>
      <c r="T49" s="246"/>
    </row>
    <row r="50" spans="1:20" ht="7.5" customHeigh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</row>
    <row r="51" ht="18.75" customHeight="1"/>
    <row r="52" ht="13.5" customHeight="1"/>
    <row r="53" ht="13.5" customHeight="1"/>
    <row r="54" ht="9.75" customHeight="1"/>
    <row r="55" ht="9" customHeight="1"/>
    <row r="56" spans="1:20" ht="19.5" customHeight="1">
      <c r="A56" s="535" t="str">
        <f>"- "&amp;Sheet1!AB33&amp;" -"</f>
        <v>- 220 -</v>
      </c>
      <c r="B56" s="535"/>
      <c r="C56" s="535"/>
      <c r="D56" s="535"/>
      <c r="E56" s="535"/>
      <c r="F56" s="535"/>
      <c r="G56" s="535"/>
      <c r="H56" s="535"/>
      <c r="I56" s="535"/>
      <c r="J56" s="535"/>
      <c r="K56" s="535" t="str">
        <f>"- "&amp;Sheet1!AC33&amp;" -"</f>
        <v>- 221 -</v>
      </c>
      <c r="L56" s="535"/>
      <c r="M56" s="535"/>
      <c r="N56" s="535"/>
      <c r="O56" s="535"/>
      <c r="P56" s="535"/>
      <c r="Q56" s="535"/>
      <c r="R56" s="535"/>
      <c r="S56" s="535"/>
      <c r="T56" s="535"/>
    </row>
    <row r="57" ht="15.7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5" spans="1:3" ht="15.75">
      <c r="A75" s="89"/>
      <c r="B75" s="89"/>
      <c r="C75" s="89"/>
    </row>
  </sheetData>
  <sheetProtection/>
  <mergeCells count="36">
    <mergeCell ref="B25:B27"/>
    <mergeCell ref="A40:A43"/>
    <mergeCell ref="A44:A48"/>
    <mergeCell ref="B43:B45"/>
    <mergeCell ref="B28:B30"/>
    <mergeCell ref="B31:B33"/>
    <mergeCell ref="A28:A33"/>
    <mergeCell ref="B37:B39"/>
    <mergeCell ref="B40:B42"/>
    <mergeCell ref="B46:B48"/>
    <mergeCell ref="K56:T56"/>
    <mergeCell ref="A56:J56"/>
    <mergeCell ref="Q5:T5"/>
    <mergeCell ref="A34:A39"/>
    <mergeCell ref="B34:B36"/>
    <mergeCell ref="B22:B24"/>
    <mergeCell ref="A16:A20"/>
    <mergeCell ref="A12:A15"/>
    <mergeCell ref="A21:A27"/>
    <mergeCell ref="B13:B15"/>
    <mergeCell ref="B7:B9"/>
    <mergeCell ref="B16:B18"/>
    <mergeCell ref="B19:B21"/>
    <mergeCell ref="A7:A11"/>
    <mergeCell ref="B10:B12"/>
    <mergeCell ref="K1:T1"/>
    <mergeCell ref="K5:P5"/>
    <mergeCell ref="H5:J5"/>
    <mergeCell ref="E5:E6"/>
    <mergeCell ref="C3:I3"/>
    <mergeCell ref="L3:S3"/>
    <mergeCell ref="D5:D6"/>
    <mergeCell ref="G5:G6"/>
    <mergeCell ref="A5:C6"/>
    <mergeCell ref="F5:F6"/>
    <mergeCell ref="A1:J1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75390625" style="89" customWidth="1"/>
    <col min="18" max="18" width="9.875" style="89" customWidth="1"/>
    <col min="19" max="19" width="8.75390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05" t="s">
        <v>673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672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1" t="s">
        <v>674</v>
      </c>
      <c r="D3" s="461"/>
      <c r="E3" s="461"/>
      <c r="F3" s="461"/>
      <c r="G3" s="461"/>
      <c r="H3" s="461"/>
      <c r="I3" s="461"/>
      <c r="J3" s="4" t="s">
        <v>675</v>
      </c>
      <c r="K3" s="61"/>
      <c r="L3" s="461" t="s">
        <v>690</v>
      </c>
      <c r="M3" s="461"/>
      <c r="N3" s="461"/>
      <c r="O3" s="461"/>
      <c r="P3" s="461"/>
      <c r="Q3" s="461"/>
      <c r="R3" s="461"/>
      <c r="S3" s="461"/>
      <c r="T3" s="138" t="s">
        <v>676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677</v>
      </c>
      <c r="E5" s="507" t="s">
        <v>678</v>
      </c>
      <c r="F5" s="507" t="s">
        <v>679</v>
      </c>
      <c r="G5" s="507" t="s">
        <v>680</v>
      </c>
      <c r="H5" s="495" t="s">
        <v>681</v>
      </c>
      <c r="I5" s="496"/>
      <c r="J5" s="496"/>
      <c r="K5" s="496" t="s">
        <v>682</v>
      </c>
      <c r="L5" s="496"/>
      <c r="M5" s="496"/>
      <c r="N5" s="496"/>
      <c r="O5" s="496"/>
      <c r="P5" s="514"/>
      <c r="Q5" s="495" t="s">
        <v>683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12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700</v>
      </c>
      <c r="R6" s="117" t="s">
        <v>708</v>
      </c>
      <c r="S6" s="117" t="s">
        <v>701</v>
      </c>
      <c r="T6" s="120" t="s">
        <v>711</v>
      </c>
    </row>
    <row r="7" spans="1:45" s="93" customFormat="1" ht="13.5" customHeight="1">
      <c r="A7" s="236"/>
      <c r="B7" s="507"/>
      <c r="C7" s="234" t="s">
        <v>687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153"/>
      <c r="B8" s="516"/>
      <c r="C8" s="124" t="s">
        <v>688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153"/>
      <c r="B9" s="517"/>
      <c r="C9" s="235" t="s">
        <v>689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153"/>
      <c r="B10" s="491"/>
      <c r="C10" s="234" t="s">
        <v>687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93" customFormat="1" ht="13.5" customHeight="1">
      <c r="A11" s="153"/>
      <c r="B11" s="492"/>
      <c r="C11" s="124" t="s">
        <v>688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s="93" customFormat="1" ht="13.5" customHeight="1">
      <c r="A12" s="153"/>
      <c r="B12" s="493"/>
      <c r="C12" s="235" t="s">
        <v>689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93" customFormat="1" ht="13.5" customHeight="1">
      <c r="A13" s="153"/>
      <c r="B13" s="491"/>
      <c r="C13" s="234" t="s">
        <v>687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93" customFormat="1" ht="13.5" customHeight="1">
      <c r="A14" s="153"/>
      <c r="B14" s="492"/>
      <c r="C14" s="124" t="s">
        <v>688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  <c r="S14" s="58"/>
      <c r="T14" s="62"/>
    </row>
    <row r="15" spans="1:20" s="93" customFormat="1" ht="13.5" customHeight="1">
      <c r="A15" s="153"/>
      <c r="B15" s="493"/>
      <c r="C15" s="235" t="s">
        <v>689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  <c r="S15" s="58"/>
      <c r="T15" s="62"/>
    </row>
    <row r="16" spans="1:20" s="93" customFormat="1" ht="13.5" customHeight="1">
      <c r="A16" s="153"/>
      <c r="B16" s="491"/>
      <c r="C16" s="234" t="s">
        <v>687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93" customFormat="1" ht="13.5" customHeight="1">
      <c r="A17" s="153"/>
      <c r="B17" s="492"/>
      <c r="C17" s="124" t="s">
        <v>688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s="93" customFormat="1" ht="13.5" customHeight="1">
      <c r="A18" s="153"/>
      <c r="B18" s="492"/>
      <c r="C18" s="235" t="s">
        <v>689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93" customFormat="1" ht="13.5" customHeight="1">
      <c r="A19" s="153"/>
      <c r="B19" s="491"/>
      <c r="C19" s="234" t="s">
        <v>687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93" customFormat="1" ht="13.5" customHeight="1">
      <c r="A20" s="153"/>
      <c r="B20" s="492"/>
      <c r="C20" s="124" t="s">
        <v>688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93" customFormat="1" ht="13.5" customHeight="1">
      <c r="A21" s="153"/>
      <c r="B21" s="492"/>
      <c r="C21" s="235" t="s">
        <v>689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s="93" customFormat="1" ht="13.5" customHeight="1">
      <c r="A22" s="153"/>
      <c r="B22" s="491"/>
      <c r="C22" s="234" t="s">
        <v>687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93" customFormat="1" ht="13.5" customHeight="1">
      <c r="A23" s="153"/>
      <c r="B23" s="492"/>
      <c r="C23" s="124" t="s">
        <v>688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s="93" customFormat="1" ht="13.5" customHeight="1">
      <c r="A24" s="153"/>
      <c r="B24" s="493"/>
      <c r="C24" s="235" t="s">
        <v>689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s="93" customFormat="1" ht="13.5" customHeight="1">
      <c r="A25" s="153"/>
      <c r="B25" s="494"/>
      <c r="C25" s="234" t="s">
        <v>687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s="93" customFormat="1" ht="13.5" customHeight="1">
      <c r="A26" s="153"/>
      <c r="B26" s="494"/>
      <c r="C26" s="124" t="s">
        <v>688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  <c r="S26" s="58"/>
      <c r="T26" s="62"/>
    </row>
    <row r="27" spans="1:20" s="93" customFormat="1" ht="13.5" customHeight="1">
      <c r="A27" s="153"/>
      <c r="B27" s="494"/>
      <c r="C27" s="235" t="s">
        <v>689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62"/>
    </row>
    <row r="28" spans="1:20" s="93" customFormat="1" ht="13.5" customHeight="1">
      <c r="A28" s="153"/>
      <c r="B28" s="507"/>
      <c r="C28" s="234" t="s">
        <v>687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1" s="93" customFormat="1" ht="13.5" customHeight="1">
      <c r="A29" s="153"/>
      <c r="B29" s="516"/>
      <c r="C29" s="124" t="s">
        <v>688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62"/>
      <c r="U29" s="94"/>
    </row>
    <row r="30" spans="1:21" s="93" customFormat="1" ht="13.5" customHeight="1">
      <c r="A30" s="153"/>
      <c r="B30" s="517"/>
      <c r="C30" s="235" t="s">
        <v>689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62"/>
      <c r="U30" s="94"/>
    </row>
    <row r="31" spans="1:20" s="93" customFormat="1" ht="13.5" customHeight="1">
      <c r="A31" s="153"/>
      <c r="B31" s="491"/>
      <c r="C31" s="234" t="s">
        <v>687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1" s="93" customFormat="1" ht="13.5" customHeight="1">
      <c r="A32" s="153"/>
      <c r="B32" s="492"/>
      <c r="C32" s="124" t="s">
        <v>688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94"/>
    </row>
    <row r="33" spans="1:21" s="93" customFormat="1" ht="13.5" customHeight="1">
      <c r="A33" s="153"/>
      <c r="B33" s="493"/>
      <c r="C33" s="235" t="s">
        <v>689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94"/>
    </row>
    <row r="34" spans="1:20" s="85" customFormat="1" ht="13.5" customHeight="1">
      <c r="A34" s="153"/>
      <c r="B34" s="491"/>
      <c r="C34" s="234" t="s">
        <v>687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85" customFormat="1" ht="13.5" customHeight="1">
      <c r="A35" s="153"/>
      <c r="B35" s="492"/>
      <c r="C35" s="124" t="s">
        <v>688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  <c r="S35" s="59"/>
      <c r="T35" s="49"/>
    </row>
    <row r="36" spans="1:20" s="85" customFormat="1" ht="13.5" customHeight="1">
      <c r="A36" s="153"/>
      <c r="B36" s="493"/>
      <c r="C36" s="235" t="s">
        <v>689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  <c r="S36" s="59"/>
      <c r="T36" s="49"/>
    </row>
    <row r="37" spans="1:20" s="85" customFormat="1" ht="13.5" customHeight="1">
      <c r="A37" s="153"/>
      <c r="B37" s="492"/>
      <c r="C37" s="234" t="s">
        <v>687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85" customFormat="1" ht="13.5" customHeight="1">
      <c r="A38" s="153"/>
      <c r="B38" s="492"/>
      <c r="C38" s="124" t="s">
        <v>688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49"/>
    </row>
    <row r="39" spans="1:20" s="85" customFormat="1" ht="13.5" customHeight="1">
      <c r="A39" s="153"/>
      <c r="B39" s="492"/>
      <c r="C39" s="235" t="s">
        <v>689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49"/>
    </row>
    <row r="40" spans="1:20" s="85" customFormat="1" ht="13.5" customHeight="1">
      <c r="A40" s="153"/>
      <c r="B40" s="491"/>
      <c r="C40" s="234" t="s">
        <v>687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85" customFormat="1" ht="13.5" customHeight="1">
      <c r="A41" s="153"/>
      <c r="B41" s="492"/>
      <c r="C41" s="124" t="s">
        <v>688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49"/>
    </row>
    <row r="42" spans="1:20" s="85" customFormat="1" ht="13.5" customHeight="1">
      <c r="A42" s="153"/>
      <c r="B42" s="493"/>
      <c r="C42" s="235" t="s">
        <v>689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9"/>
    </row>
    <row r="43" spans="1:20" s="93" customFormat="1" ht="13.5" customHeight="1">
      <c r="A43" s="153"/>
      <c r="B43" s="491"/>
      <c r="C43" s="234" t="s">
        <v>687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93" customFormat="1" ht="13.5" customHeight="1">
      <c r="A44" s="153"/>
      <c r="B44" s="492"/>
      <c r="C44" s="124" t="s">
        <v>688</v>
      </c>
      <c r="D44" s="2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93" customFormat="1" ht="13.5" customHeight="1">
      <c r="A45" s="153"/>
      <c r="B45" s="493"/>
      <c r="C45" s="235" t="s">
        <v>689</v>
      </c>
      <c r="D45" s="2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93" customFormat="1" ht="13.5" customHeight="1">
      <c r="A46" s="153"/>
      <c r="B46" s="507"/>
      <c r="C46" s="234" t="s">
        <v>687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93" customFormat="1" ht="13.5" customHeight="1">
      <c r="A47" s="153"/>
      <c r="B47" s="516"/>
      <c r="C47" s="124" t="s">
        <v>688</v>
      </c>
      <c r="D47" s="2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93" customFormat="1" ht="13.5" customHeight="1">
      <c r="A48" s="153"/>
      <c r="B48" s="517"/>
      <c r="C48" s="124" t="s">
        <v>689</v>
      </c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51" spans="1:20" ht="15.75">
      <c r="A51" s="570" t="str">
        <f>"- "&amp;Sheet1!AD33&amp;" -"</f>
        <v>-  -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 t="str">
        <f>"- "&amp;Sheet1!AE33&amp;" -"</f>
        <v>-  -</v>
      </c>
      <c r="L51" s="570"/>
      <c r="M51" s="570"/>
      <c r="N51" s="570"/>
      <c r="O51" s="570"/>
      <c r="P51" s="570"/>
      <c r="Q51" s="570"/>
      <c r="R51" s="570"/>
      <c r="S51" s="570"/>
      <c r="T51" s="570"/>
    </row>
  </sheetData>
  <sheetProtection/>
  <mergeCells count="28">
    <mergeCell ref="K51:T51"/>
    <mergeCell ref="B40:B42"/>
    <mergeCell ref="B43:B45"/>
    <mergeCell ref="B46:B48"/>
    <mergeCell ref="A51:J51"/>
    <mergeCell ref="B28:B30"/>
    <mergeCell ref="B31:B33"/>
    <mergeCell ref="B34:B36"/>
    <mergeCell ref="B37:B39"/>
    <mergeCell ref="Q5:T5"/>
    <mergeCell ref="C3:I3"/>
    <mergeCell ref="L3:S3"/>
    <mergeCell ref="A1:J1"/>
    <mergeCell ref="K1:T1"/>
    <mergeCell ref="K5:P5"/>
    <mergeCell ref="D5:D6"/>
    <mergeCell ref="H5:J5"/>
    <mergeCell ref="E5:E6"/>
    <mergeCell ref="F5:F6"/>
    <mergeCell ref="G5:G6"/>
    <mergeCell ref="A5:C6"/>
    <mergeCell ref="B7:B9"/>
    <mergeCell ref="B10:B12"/>
    <mergeCell ref="B25:B27"/>
    <mergeCell ref="B13:B15"/>
    <mergeCell ref="B16:B18"/>
    <mergeCell ref="B19:B21"/>
    <mergeCell ref="B22:B2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75390625" style="89" customWidth="1"/>
    <col min="18" max="18" width="9.875" style="89" customWidth="1"/>
    <col min="19" max="19" width="8.75390625" style="89" customWidth="1"/>
    <col min="20" max="20" width="10.875" style="89" customWidth="1"/>
    <col min="21" max="16384" width="9.00390625" style="89" customWidth="1"/>
  </cols>
  <sheetData>
    <row r="1" spans="1:20" s="96" customFormat="1" ht="21.75" customHeight="1">
      <c r="A1" s="505" t="s">
        <v>673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672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1" t="s">
        <v>674</v>
      </c>
      <c r="D3" s="461"/>
      <c r="E3" s="461"/>
      <c r="F3" s="461"/>
      <c r="G3" s="461"/>
      <c r="H3" s="461"/>
      <c r="I3" s="461"/>
      <c r="J3" s="4" t="s">
        <v>675</v>
      </c>
      <c r="K3" s="61"/>
      <c r="L3" s="461" t="s">
        <v>690</v>
      </c>
      <c r="M3" s="461"/>
      <c r="N3" s="461"/>
      <c r="O3" s="461"/>
      <c r="P3" s="461"/>
      <c r="Q3" s="461"/>
      <c r="R3" s="461"/>
      <c r="S3" s="461"/>
      <c r="T3" s="138" t="s">
        <v>676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677</v>
      </c>
      <c r="E5" s="507" t="s">
        <v>678</v>
      </c>
      <c r="F5" s="507" t="s">
        <v>679</v>
      </c>
      <c r="G5" s="507" t="s">
        <v>680</v>
      </c>
      <c r="H5" s="495" t="s">
        <v>681</v>
      </c>
      <c r="I5" s="496"/>
      <c r="J5" s="496"/>
      <c r="K5" s="496" t="s">
        <v>682</v>
      </c>
      <c r="L5" s="496"/>
      <c r="M5" s="496"/>
      <c r="N5" s="496"/>
      <c r="O5" s="496"/>
      <c r="P5" s="514"/>
      <c r="Q5" s="495" t="s">
        <v>683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12"/>
      <c r="F6" s="513"/>
      <c r="G6" s="508"/>
      <c r="H6" s="123" t="s">
        <v>795</v>
      </c>
      <c r="I6" s="123" t="s">
        <v>796</v>
      </c>
      <c r="J6" s="123" t="s">
        <v>797</v>
      </c>
      <c r="K6" s="52" t="s">
        <v>798</v>
      </c>
      <c r="L6" s="52" t="s">
        <v>799</v>
      </c>
      <c r="M6" s="123" t="s">
        <v>800</v>
      </c>
      <c r="N6" s="123" t="s">
        <v>801</v>
      </c>
      <c r="O6" s="123" t="s">
        <v>802</v>
      </c>
      <c r="P6" s="123" t="s">
        <v>803</v>
      </c>
      <c r="Q6" s="118" t="s">
        <v>804</v>
      </c>
      <c r="R6" s="117" t="s">
        <v>805</v>
      </c>
      <c r="S6" s="117" t="s">
        <v>806</v>
      </c>
      <c r="T6" s="120" t="s">
        <v>807</v>
      </c>
    </row>
    <row r="7" spans="1:45" s="93" customFormat="1" ht="13.5" customHeight="1">
      <c r="A7" s="236"/>
      <c r="B7" s="507"/>
      <c r="C7" s="234" t="s">
        <v>687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153"/>
      <c r="B8" s="516"/>
      <c r="C8" s="124" t="s">
        <v>688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153"/>
      <c r="B9" s="517"/>
      <c r="C9" s="235" t="s">
        <v>689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153"/>
      <c r="B10" s="491"/>
      <c r="C10" s="234" t="s">
        <v>687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93" customFormat="1" ht="13.5" customHeight="1">
      <c r="A11" s="153"/>
      <c r="B11" s="492"/>
      <c r="C11" s="124" t="s">
        <v>688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s="93" customFormat="1" ht="13.5" customHeight="1">
      <c r="A12" s="153"/>
      <c r="B12" s="493"/>
      <c r="C12" s="235" t="s">
        <v>689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93" customFormat="1" ht="13.5" customHeight="1">
      <c r="A13" s="153"/>
      <c r="B13" s="491"/>
      <c r="C13" s="234" t="s">
        <v>687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93" customFormat="1" ht="13.5" customHeight="1">
      <c r="A14" s="153"/>
      <c r="B14" s="492"/>
      <c r="C14" s="124" t="s">
        <v>688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  <c r="S14" s="58"/>
      <c r="T14" s="62"/>
    </row>
    <row r="15" spans="1:20" s="93" customFormat="1" ht="13.5" customHeight="1">
      <c r="A15" s="153"/>
      <c r="B15" s="493"/>
      <c r="C15" s="235" t="s">
        <v>689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  <c r="S15" s="58"/>
      <c r="T15" s="62"/>
    </row>
    <row r="16" spans="1:20" s="93" customFormat="1" ht="13.5" customHeight="1">
      <c r="A16" s="153"/>
      <c r="B16" s="491"/>
      <c r="C16" s="234" t="s">
        <v>687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93" customFormat="1" ht="13.5" customHeight="1">
      <c r="A17" s="153"/>
      <c r="B17" s="492"/>
      <c r="C17" s="124" t="s">
        <v>688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s="93" customFormat="1" ht="13.5" customHeight="1">
      <c r="A18" s="153"/>
      <c r="B18" s="492"/>
      <c r="C18" s="235" t="s">
        <v>689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93" customFormat="1" ht="13.5" customHeight="1">
      <c r="A19" s="153"/>
      <c r="B19" s="491"/>
      <c r="C19" s="234" t="s">
        <v>687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93" customFormat="1" ht="13.5" customHeight="1">
      <c r="A20" s="153"/>
      <c r="B20" s="492"/>
      <c r="C20" s="124" t="s">
        <v>688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93" customFormat="1" ht="13.5" customHeight="1">
      <c r="A21" s="153"/>
      <c r="B21" s="492"/>
      <c r="C21" s="235" t="s">
        <v>689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s="93" customFormat="1" ht="13.5" customHeight="1">
      <c r="A22" s="153"/>
      <c r="B22" s="491"/>
      <c r="C22" s="234" t="s">
        <v>687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93" customFormat="1" ht="13.5" customHeight="1">
      <c r="A23" s="153"/>
      <c r="B23" s="492"/>
      <c r="C23" s="124" t="s">
        <v>688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s="93" customFormat="1" ht="13.5" customHeight="1">
      <c r="A24" s="153"/>
      <c r="B24" s="493"/>
      <c r="C24" s="235" t="s">
        <v>689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s="93" customFormat="1" ht="13.5" customHeight="1">
      <c r="A25" s="153"/>
      <c r="B25" s="494"/>
      <c r="C25" s="234" t="s">
        <v>687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s="93" customFormat="1" ht="13.5" customHeight="1">
      <c r="A26" s="153"/>
      <c r="B26" s="494"/>
      <c r="C26" s="124" t="s">
        <v>688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  <c r="S26" s="58"/>
      <c r="T26" s="62"/>
    </row>
    <row r="27" spans="1:20" s="93" customFormat="1" ht="13.5" customHeight="1">
      <c r="A27" s="153"/>
      <c r="B27" s="494"/>
      <c r="C27" s="235" t="s">
        <v>689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62"/>
    </row>
    <row r="28" spans="1:20" s="93" customFormat="1" ht="13.5" customHeight="1">
      <c r="A28" s="153"/>
      <c r="B28" s="507"/>
      <c r="C28" s="234" t="s">
        <v>687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1" s="93" customFormat="1" ht="13.5" customHeight="1">
      <c r="A29" s="153"/>
      <c r="B29" s="516"/>
      <c r="C29" s="124" t="s">
        <v>688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62"/>
      <c r="U29" s="94"/>
    </row>
    <row r="30" spans="1:21" s="93" customFormat="1" ht="13.5" customHeight="1">
      <c r="A30" s="153"/>
      <c r="B30" s="517"/>
      <c r="C30" s="235" t="s">
        <v>689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62"/>
      <c r="U30" s="94"/>
    </row>
    <row r="31" spans="1:20" s="93" customFormat="1" ht="13.5" customHeight="1">
      <c r="A31" s="153"/>
      <c r="B31" s="491"/>
      <c r="C31" s="234" t="s">
        <v>687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1" s="93" customFormat="1" ht="13.5" customHeight="1">
      <c r="A32" s="153"/>
      <c r="B32" s="492"/>
      <c r="C32" s="124" t="s">
        <v>688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94"/>
    </row>
    <row r="33" spans="1:21" s="93" customFormat="1" ht="13.5" customHeight="1">
      <c r="A33" s="153"/>
      <c r="B33" s="493"/>
      <c r="C33" s="235" t="s">
        <v>689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94"/>
    </row>
    <row r="34" spans="1:20" s="85" customFormat="1" ht="13.5" customHeight="1">
      <c r="A34" s="153"/>
      <c r="B34" s="491"/>
      <c r="C34" s="234" t="s">
        <v>687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85" customFormat="1" ht="13.5" customHeight="1">
      <c r="A35" s="153"/>
      <c r="B35" s="492"/>
      <c r="C35" s="124" t="s">
        <v>688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  <c r="S35" s="59"/>
      <c r="T35" s="49"/>
    </row>
    <row r="36" spans="1:20" s="85" customFormat="1" ht="13.5" customHeight="1">
      <c r="A36" s="153"/>
      <c r="B36" s="493"/>
      <c r="C36" s="235" t="s">
        <v>689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  <c r="S36" s="59"/>
      <c r="T36" s="49"/>
    </row>
    <row r="37" spans="1:20" s="85" customFormat="1" ht="13.5" customHeight="1">
      <c r="A37" s="153"/>
      <c r="B37" s="492"/>
      <c r="C37" s="234" t="s">
        <v>687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85" customFormat="1" ht="13.5" customHeight="1">
      <c r="A38" s="153"/>
      <c r="B38" s="492"/>
      <c r="C38" s="124" t="s">
        <v>688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49"/>
    </row>
    <row r="39" spans="1:20" s="85" customFormat="1" ht="13.5" customHeight="1">
      <c r="A39" s="153"/>
      <c r="B39" s="492"/>
      <c r="C39" s="235" t="s">
        <v>689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49"/>
    </row>
    <row r="40" spans="1:20" s="85" customFormat="1" ht="13.5" customHeight="1">
      <c r="A40" s="153"/>
      <c r="B40" s="491"/>
      <c r="C40" s="234" t="s">
        <v>687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85" customFormat="1" ht="13.5" customHeight="1">
      <c r="A41" s="153"/>
      <c r="B41" s="492"/>
      <c r="C41" s="124" t="s">
        <v>688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49"/>
    </row>
    <row r="42" spans="1:20" s="85" customFormat="1" ht="13.5" customHeight="1">
      <c r="A42" s="153"/>
      <c r="B42" s="493"/>
      <c r="C42" s="235" t="s">
        <v>689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9"/>
    </row>
    <row r="43" spans="1:20" s="93" customFormat="1" ht="13.5" customHeight="1">
      <c r="A43" s="153"/>
      <c r="B43" s="491"/>
      <c r="C43" s="234" t="s">
        <v>687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93" customFormat="1" ht="13.5" customHeight="1">
      <c r="A44" s="153"/>
      <c r="B44" s="492"/>
      <c r="C44" s="124" t="s">
        <v>688</v>
      </c>
      <c r="D44" s="2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93" customFormat="1" ht="13.5" customHeight="1">
      <c r="A45" s="153"/>
      <c r="B45" s="493"/>
      <c r="C45" s="235" t="s">
        <v>689</v>
      </c>
      <c r="D45" s="2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93" customFormat="1" ht="13.5" customHeight="1">
      <c r="A46" s="153"/>
      <c r="B46" s="507"/>
      <c r="C46" s="234" t="s">
        <v>687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93" customFormat="1" ht="13.5" customHeight="1">
      <c r="A47" s="153"/>
      <c r="B47" s="516"/>
      <c r="C47" s="124" t="s">
        <v>688</v>
      </c>
      <c r="D47" s="2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93" customFormat="1" ht="13.5" customHeight="1">
      <c r="A48" s="153"/>
      <c r="B48" s="517"/>
      <c r="C48" s="124" t="s">
        <v>689</v>
      </c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51" spans="1:20" ht="15.75">
      <c r="A51" s="570" t="str">
        <f>"- "&amp;Sheet1!AF33&amp;" -"</f>
        <v>-  -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 t="str">
        <f>"- "&amp;Sheet1!AG33&amp;" -"</f>
        <v>-  -</v>
      </c>
      <c r="L51" s="570"/>
      <c r="M51" s="570"/>
      <c r="N51" s="570"/>
      <c r="O51" s="570"/>
      <c r="P51" s="570"/>
      <c r="Q51" s="570"/>
      <c r="R51" s="570"/>
      <c r="S51" s="570"/>
      <c r="T51" s="570"/>
    </row>
  </sheetData>
  <sheetProtection/>
  <mergeCells count="28">
    <mergeCell ref="B25:B27"/>
    <mergeCell ref="B13:B15"/>
    <mergeCell ref="B16:B18"/>
    <mergeCell ref="B19:B21"/>
    <mergeCell ref="B22:B24"/>
    <mergeCell ref="G5:G6"/>
    <mergeCell ref="A5:C6"/>
    <mergeCell ref="B7:B9"/>
    <mergeCell ref="B10:B12"/>
    <mergeCell ref="Q5:T5"/>
    <mergeCell ref="C3:I3"/>
    <mergeCell ref="L3:S3"/>
    <mergeCell ref="A1:J1"/>
    <mergeCell ref="K1:T1"/>
    <mergeCell ref="K5:P5"/>
    <mergeCell ref="D5:D6"/>
    <mergeCell ref="H5:J5"/>
    <mergeCell ref="E5:E6"/>
    <mergeCell ref="F5:F6"/>
    <mergeCell ref="B28:B30"/>
    <mergeCell ref="B31:B33"/>
    <mergeCell ref="B34:B36"/>
    <mergeCell ref="B37:B39"/>
    <mergeCell ref="K51:T51"/>
    <mergeCell ref="B40:B42"/>
    <mergeCell ref="B43:B45"/>
    <mergeCell ref="B46:B48"/>
    <mergeCell ref="A51:J5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S54"/>
  <sheetViews>
    <sheetView zoomScale="75" zoomScaleNormal="75" workbookViewId="0" topLeftCell="A1">
      <selection activeCell="H6" sqref="H6:T6"/>
    </sheetView>
  </sheetViews>
  <sheetFormatPr defaultColWidth="9.00390625" defaultRowHeight="16.5"/>
  <cols>
    <col min="1" max="1" width="6.50390625" style="92" customWidth="1"/>
    <col min="2" max="2" width="9.625" style="92" customWidth="1"/>
    <col min="3" max="3" width="8.375" style="92" customWidth="1"/>
    <col min="4" max="4" width="10.625" style="89" customWidth="1"/>
    <col min="5" max="5" width="9.75390625" style="89" customWidth="1"/>
    <col min="6" max="6" width="11.50390625" style="89" customWidth="1"/>
    <col min="7" max="7" width="11.25390625" style="89" customWidth="1"/>
    <col min="8" max="8" width="8.25390625" style="89" customWidth="1"/>
    <col min="9" max="9" width="8.00390625" style="89" customWidth="1"/>
    <col min="10" max="10" width="8.375" style="89" customWidth="1"/>
    <col min="11" max="17" width="8.75390625" style="89" customWidth="1"/>
    <col min="18" max="18" width="9.875" style="89" customWidth="1"/>
    <col min="19" max="19" width="8.75390625" style="89" customWidth="1"/>
    <col min="20" max="20" width="11.00390625" style="89" customWidth="1"/>
    <col min="21" max="16384" width="9.00390625" style="89" customWidth="1"/>
  </cols>
  <sheetData>
    <row r="1" spans="1:20" s="96" customFormat="1" ht="21.75" customHeight="1">
      <c r="A1" s="505" t="s">
        <v>671</v>
      </c>
      <c r="B1" s="505"/>
      <c r="C1" s="505"/>
      <c r="D1" s="505"/>
      <c r="E1" s="505"/>
      <c r="F1" s="505"/>
      <c r="G1" s="505"/>
      <c r="H1" s="505"/>
      <c r="I1" s="505"/>
      <c r="J1" s="505"/>
      <c r="K1" s="540" t="s">
        <v>672</v>
      </c>
      <c r="L1" s="540"/>
      <c r="M1" s="540"/>
      <c r="N1" s="540"/>
      <c r="O1" s="540"/>
      <c r="P1" s="540"/>
      <c r="Q1" s="540"/>
      <c r="R1" s="540"/>
      <c r="S1" s="540"/>
      <c r="T1" s="540"/>
    </row>
    <row r="2" spans="1:20" ht="9" customHeight="1">
      <c r="A2" s="6"/>
      <c r="B2" s="2"/>
      <c r="C2" s="2"/>
      <c r="D2" s="2"/>
      <c r="E2" s="2"/>
      <c r="F2" s="2"/>
      <c r="G2" s="6"/>
      <c r="H2" s="6"/>
      <c r="I2" s="6"/>
      <c r="J2" s="6"/>
      <c r="K2" s="19"/>
      <c r="L2" s="53"/>
      <c r="M2" s="2"/>
      <c r="N2" s="2"/>
      <c r="O2" s="2"/>
      <c r="P2" s="2"/>
      <c r="Q2" s="2"/>
      <c r="R2" s="2"/>
      <c r="S2" s="2"/>
      <c r="T2" s="2"/>
    </row>
    <row r="3" spans="1:20" s="95" customFormat="1" ht="15" customHeight="1">
      <c r="A3" s="3"/>
      <c r="B3" s="16"/>
      <c r="C3" s="461"/>
      <c r="D3" s="461"/>
      <c r="E3" s="461"/>
      <c r="F3" s="461"/>
      <c r="G3" s="461"/>
      <c r="H3" s="461"/>
      <c r="I3" s="461"/>
      <c r="J3" s="4" t="s">
        <v>712</v>
      </c>
      <c r="K3" s="61"/>
      <c r="L3" s="461"/>
      <c r="M3" s="461"/>
      <c r="N3" s="461"/>
      <c r="O3" s="461"/>
      <c r="P3" s="461"/>
      <c r="Q3" s="461"/>
      <c r="R3" s="461"/>
      <c r="S3" s="461"/>
      <c r="T3" s="138" t="s">
        <v>697</v>
      </c>
    </row>
    <row r="4" spans="1:20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90" customFormat="1" ht="30" customHeight="1">
      <c r="A5" s="509"/>
      <c r="B5" s="509"/>
      <c r="C5" s="488"/>
      <c r="D5" s="507" t="s">
        <v>713</v>
      </c>
      <c r="E5" s="507" t="s">
        <v>714</v>
      </c>
      <c r="F5" s="507" t="s">
        <v>715</v>
      </c>
      <c r="G5" s="507" t="s">
        <v>716</v>
      </c>
      <c r="H5" s="495" t="s">
        <v>717</v>
      </c>
      <c r="I5" s="496"/>
      <c r="J5" s="496"/>
      <c r="K5" s="496" t="s">
        <v>696</v>
      </c>
      <c r="L5" s="496"/>
      <c r="M5" s="496"/>
      <c r="N5" s="496"/>
      <c r="O5" s="496"/>
      <c r="P5" s="514"/>
      <c r="Q5" s="495" t="s">
        <v>718</v>
      </c>
      <c r="R5" s="496"/>
      <c r="S5" s="496"/>
      <c r="T5" s="496"/>
    </row>
    <row r="6" spans="1:20" s="90" customFormat="1" ht="60.75" customHeight="1">
      <c r="A6" s="510"/>
      <c r="B6" s="510"/>
      <c r="C6" s="511"/>
      <c r="D6" s="512"/>
      <c r="E6" s="512"/>
      <c r="F6" s="513"/>
      <c r="G6" s="508"/>
      <c r="H6" s="123" t="s">
        <v>785</v>
      </c>
      <c r="I6" s="123" t="s">
        <v>786</v>
      </c>
      <c r="J6" s="123" t="s">
        <v>787</v>
      </c>
      <c r="K6" s="52" t="s">
        <v>788</v>
      </c>
      <c r="L6" s="52" t="s">
        <v>789</v>
      </c>
      <c r="M6" s="123" t="s">
        <v>790</v>
      </c>
      <c r="N6" s="123" t="s">
        <v>791</v>
      </c>
      <c r="O6" s="123" t="s">
        <v>792</v>
      </c>
      <c r="P6" s="123" t="s">
        <v>793</v>
      </c>
      <c r="Q6" s="118" t="s">
        <v>700</v>
      </c>
      <c r="R6" s="117" t="s">
        <v>708</v>
      </c>
      <c r="S6" s="117" t="s">
        <v>701</v>
      </c>
      <c r="T6" s="120" t="s">
        <v>711</v>
      </c>
    </row>
    <row r="7" spans="1:45" s="93" customFormat="1" ht="13.5" customHeight="1">
      <c r="A7" s="236"/>
      <c r="B7" s="507"/>
      <c r="C7" s="234" t="s">
        <v>702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5" s="93" customFormat="1" ht="13.5" customHeight="1">
      <c r="A8" s="153"/>
      <c r="B8" s="516"/>
      <c r="C8" s="124" t="s">
        <v>703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</row>
    <row r="9" spans="1:45" s="93" customFormat="1" ht="13.5" customHeight="1">
      <c r="A9" s="153"/>
      <c r="B9" s="517"/>
      <c r="C9" s="235" t="s">
        <v>704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20" s="93" customFormat="1" ht="13.5" customHeight="1">
      <c r="A10" s="153"/>
      <c r="B10" s="491"/>
      <c r="C10" s="234" t="s">
        <v>702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s="93" customFormat="1" ht="13.5" customHeight="1">
      <c r="A11" s="153"/>
      <c r="B11" s="492"/>
      <c r="C11" s="124" t="s">
        <v>703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s="93" customFormat="1" ht="13.5" customHeight="1">
      <c r="A12" s="153"/>
      <c r="B12" s="493"/>
      <c r="C12" s="235" t="s">
        <v>704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93" customFormat="1" ht="13.5" customHeight="1">
      <c r="A13" s="153"/>
      <c r="B13" s="491"/>
      <c r="C13" s="234" t="s">
        <v>702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s="93" customFormat="1" ht="13.5" customHeight="1">
      <c r="A14" s="153"/>
      <c r="B14" s="492"/>
      <c r="C14" s="124" t="s">
        <v>703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  <c r="S14" s="58"/>
      <c r="T14" s="62"/>
    </row>
    <row r="15" spans="1:20" s="93" customFormat="1" ht="13.5" customHeight="1">
      <c r="A15" s="153"/>
      <c r="B15" s="493"/>
      <c r="C15" s="235" t="s">
        <v>704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  <c r="S15" s="58"/>
      <c r="T15" s="62"/>
    </row>
    <row r="16" spans="1:20" s="93" customFormat="1" ht="13.5" customHeight="1">
      <c r="A16" s="153"/>
      <c r="B16" s="491"/>
      <c r="C16" s="234" t="s">
        <v>702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s="93" customFormat="1" ht="13.5" customHeight="1">
      <c r="A17" s="153"/>
      <c r="B17" s="492"/>
      <c r="C17" s="124" t="s">
        <v>703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s="93" customFormat="1" ht="13.5" customHeight="1">
      <c r="A18" s="153"/>
      <c r="B18" s="492"/>
      <c r="C18" s="235" t="s">
        <v>704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93" customFormat="1" ht="13.5" customHeight="1">
      <c r="A19" s="153"/>
      <c r="B19" s="491"/>
      <c r="C19" s="234" t="s">
        <v>702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93" customFormat="1" ht="13.5" customHeight="1">
      <c r="A20" s="153"/>
      <c r="B20" s="492"/>
      <c r="C20" s="124" t="s">
        <v>703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93" customFormat="1" ht="13.5" customHeight="1">
      <c r="A21" s="153"/>
      <c r="B21" s="492"/>
      <c r="C21" s="235" t="s">
        <v>704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s="93" customFormat="1" ht="13.5" customHeight="1">
      <c r="A22" s="153"/>
      <c r="B22" s="491"/>
      <c r="C22" s="234" t="s">
        <v>702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93" customFormat="1" ht="13.5" customHeight="1">
      <c r="A23" s="153"/>
      <c r="B23" s="492"/>
      <c r="C23" s="124" t="s">
        <v>703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s="93" customFormat="1" ht="13.5" customHeight="1">
      <c r="A24" s="153"/>
      <c r="B24" s="493"/>
      <c r="C24" s="235" t="s">
        <v>704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s="93" customFormat="1" ht="13.5" customHeight="1">
      <c r="A25" s="153"/>
      <c r="B25" s="494"/>
      <c r="C25" s="234" t="s">
        <v>702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s="93" customFormat="1" ht="13.5" customHeight="1">
      <c r="A26" s="153"/>
      <c r="B26" s="494"/>
      <c r="C26" s="124" t="s">
        <v>703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  <c r="S26" s="58"/>
      <c r="T26" s="62"/>
    </row>
    <row r="27" spans="1:20" s="93" customFormat="1" ht="13.5" customHeight="1">
      <c r="A27" s="153"/>
      <c r="B27" s="494"/>
      <c r="C27" s="235" t="s">
        <v>704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62"/>
    </row>
    <row r="28" spans="1:20" s="93" customFormat="1" ht="13.5" customHeight="1">
      <c r="A28" s="153"/>
      <c r="B28" s="507"/>
      <c r="C28" s="234" t="s">
        <v>702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1" s="93" customFormat="1" ht="13.5" customHeight="1">
      <c r="A29" s="153"/>
      <c r="B29" s="516"/>
      <c r="C29" s="124" t="s">
        <v>703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62"/>
      <c r="U29" s="94"/>
    </row>
    <row r="30" spans="1:21" s="93" customFormat="1" ht="13.5" customHeight="1">
      <c r="A30" s="153"/>
      <c r="B30" s="517"/>
      <c r="C30" s="235" t="s">
        <v>704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62"/>
      <c r="U30" s="94"/>
    </row>
    <row r="31" spans="1:20" s="93" customFormat="1" ht="13.5" customHeight="1">
      <c r="A31" s="153"/>
      <c r="B31" s="491"/>
      <c r="C31" s="234" t="s">
        <v>702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1" s="93" customFormat="1" ht="13.5" customHeight="1">
      <c r="A32" s="153"/>
      <c r="B32" s="492"/>
      <c r="C32" s="124" t="s">
        <v>703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94"/>
    </row>
    <row r="33" spans="1:21" s="93" customFormat="1" ht="13.5" customHeight="1">
      <c r="A33" s="153"/>
      <c r="B33" s="493"/>
      <c r="C33" s="235" t="s">
        <v>704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94"/>
    </row>
    <row r="34" spans="1:20" s="85" customFormat="1" ht="13.5" customHeight="1">
      <c r="A34" s="153"/>
      <c r="B34" s="491"/>
      <c r="C34" s="234" t="s">
        <v>702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85" customFormat="1" ht="13.5" customHeight="1">
      <c r="A35" s="153"/>
      <c r="B35" s="492"/>
      <c r="C35" s="124" t="s">
        <v>703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  <c r="S35" s="59"/>
      <c r="T35" s="49"/>
    </row>
    <row r="36" spans="1:20" s="85" customFormat="1" ht="13.5" customHeight="1">
      <c r="A36" s="153"/>
      <c r="B36" s="493"/>
      <c r="C36" s="235" t="s">
        <v>704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  <c r="S36" s="59"/>
      <c r="T36" s="49"/>
    </row>
    <row r="37" spans="1:20" s="85" customFormat="1" ht="13.5" customHeight="1">
      <c r="A37" s="153"/>
      <c r="B37" s="492"/>
      <c r="C37" s="234" t="s">
        <v>702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85" customFormat="1" ht="13.5" customHeight="1">
      <c r="A38" s="153"/>
      <c r="B38" s="492"/>
      <c r="C38" s="124" t="s">
        <v>703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49"/>
    </row>
    <row r="39" spans="1:20" s="85" customFormat="1" ht="13.5" customHeight="1">
      <c r="A39" s="153"/>
      <c r="B39" s="492"/>
      <c r="C39" s="235" t="s">
        <v>704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49"/>
    </row>
    <row r="40" spans="1:20" s="85" customFormat="1" ht="13.5" customHeight="1">
      <c r="A40" s="153"/>
      <c r="B40" s="491"/>
      <c r="C40" s="234" t="s">
        <v>702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s="85" customFormat="1" ht="13.5" customHeight="1">
      <c r="A41" s="153"/>
      <c r="B41" s="492"/>
      <c r="C41" s="124" t="s">
        <v>703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49"/>
    </row>
    <row r="42" spans="1:20" s="85" customFormat="1" ht="13.5" customHeight="1">
      <c r="A42" s="153"/>
      <c r="B42" s="493"/>
      <c r="C42" s="235" t="s">
        <v>704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9"/>
    </row>
    <row r="43" spans="1:20" s="93" customFormat="1" ht="13.5" customHeight="1">
      <c r="A43" s="153"/>
      <c r="B43" s="491"/>
      <c r="C43" s="234" t="s">
        <v>702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93" customFormat="1" ht="13.5" customHeight="1">
      <c r="A44" s="153"/>
      <c r="B44" s="492"/>
      <c r="C44" s="124" t="s">
        <v>703</v>
      </c>
      <c r="D44" s="2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93" customFormat="1" ht="13.5" customHeight="1">
      <c r="A45" s="153"/>
      <c r="B45" s="493"/>
      <c r="C45" s="235" t="s">
        <v>704</v>
      </c>
      <c r="D45" s="2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93" customFormat="1" ht="13.5" customHeight="1">
      <c r="A46" s="153"/>
      <c r="B46" s="507"/>
      <c r="C46" s="234" t="s">
        <v>702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93" customFormat="1" ht="13.5" customHeight="1">
      <c r="A47" s="153"/>
      <c r="B47" s="516"/>
      <c r="C47" s="124" t="s">
        <v>703</v>
      </c>
      <c r="D47" s="2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93" customFormat="1" ht="13.5" customHeight="1">
      <c r="A48" s="153"/>
      <c r="B48" s="517"/>
      <c r="C48" s="124" t="s">
        <v>704</v>
      </c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51" spans="1:20" ht="15.75">
      <c r="A51" s="570" t="str">
        <f>"- "&amp;Sheet1!AH33&amp;" -"</f>
        <v>-  -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 t="str">
        <f>"- "&amp;Sheet1!AI33&amp;" -"</f>
        <v>-  -</v>
      </c>
      <c r="L51" s="570"/>
      <c r="M51" s="570"/>
      <c r="N51" s="570"/>
      <c r="O51" s="570"/>
      <c r="P51" s="570"/>
      <c r="Q51" s="570"/>
      <c r="R51" s="570"/>
      <c r="S51" s="570"/>
      <c r="T51" s="570"/>
    </row>
    <row r="52" spans="1:20" s="37" customFormat="1" ht="13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</row>
    <row r="53" spans="1:20" s="37" customFormat="1" ht="13.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s="37" customFormat="1" ht="13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="37" customFormat="1" ht="13.5" customHeight="1"/>
    <row r="56" s="37" customFormat="1" ht="13.5" customHeight="1"/>
    <row r="57" s="37" customFormat="1" ht="13.5" customHeight="1"/>
    <row r="58" s="37" customFormat="1" ht="13.5" customHeight="1"/>
  </sheetData>
  <sheetProtection/>
  <mergeCells count="28">
    <mergeCell ref="B25:B27"/>
    <mergeCell ref="B28:B30"/>
    <mergeCell ref="B43:B45"/>
    <mergeCell ref="B46:B48"/>
    <mergeCell ref="B31:B33"/>
    <mergeCell ref="B34:B36"/>
    <mergeCell ref="B37:B39"/>
    <mergeCell ref="B40:B42"/>
    <mergeCell ref="A51:J51"/>
    <mergeCell ref="K51:T51"/>
    <mergeCell ref="L3:S3"/>
    <mergeCell ref="C3:I3"/>
    <mergeCell ref="B7:B9"/>
    <mergeCell ref="B10:B12"/>
    <mergeCell ref="H5:J5"/>
    <mergeCell ref="K5:P5"/>
    <mergeCell ref="B19:B21"/>
    <mergeCell ref="B22:B24"/>
    <mergeCell ref="B13:B15"/>
    <mergeCell ref="B16:B18"/>
    <mergeCell ref="A1:J1"/>
    <mergeCell ref="K1:T1"/>
    <mergeCell ref="Q5:T5"/>
    <mergeCell ref="E5:E6"/>
    <mergeCell ref="F5:F6"/>
    <mergeCell ref="G5:G6"/>
    <mergeCell ref="A5:C6"/>
    <mergeCell ref="D5:D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51"/>
  <sheetViews>
    <sheetView view="pageLayout" zoomScaleNormal="80" zoomScaleSheetLayoutView="85" workbookViewId="0" topLeftCell="H28">
      <selection activeCell="J47" sqref="J47"/>
    </sheetView>
  </sheetViews>
  <sheetFormatPr defaultColWidth="9.00390625" defaultRowHeight="16.5"/>
  <cols>
    <col min="1" max="1" width="6.25390625" style="85" customWidth="1"/>
    <col min="2" max="2" width="10.00390625" style="85" customWidth="1"/>
    <col min="3" max="3" width="8.625" style="85" customWidth="1"/>
    <col min="4" max="4" width="10.50390625" style="85" customWidth="1"/>
    <col min="5" max="5" width="10.25390625" style="85" customWidth="1"/>
    <col min="6" max="6" width="11.625" style="85" customWidth="1"/>
    <col min="7" max="7" width="8.625" style="85" customWidth="1"/>
    <col min="8" max="18" width="9.00390625" style="85" customWidth="1"/>
    <col min="19" max="19" width="9.625" style="85" customWidth="1"/>
    <col min="20" max="16384" width="9.00390625" style="85" customWidth="1"/>
  </cols>
  <sheetData>
    <row r="1" spans="1:19" s="98" customFormat="1" ht="21.75" customHeight="1">
      <c r="A1" s="505" t="s">
        <v>769</v>
      </c>
      <c r="B1" s="505"/>
      <c r="C1" s="505"/>
      <c r="D1" s="505"/>
      <c r="E1" s="505"/>
      <c r="F1" s="505"/>
      <c r="G1" s="505"/>
      <c r="H1" s="505"/>
      <c r="I1" s="505"/>
      <c r="J1" s="505" t="s">
        <v>223</v>
      </c>
      <c r="K1" s="505"/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53"/>
      <c r="M2" s="2"/>
      <c r="N2" s="2"/>
      <c r="O2" s="2"/>
      <c r="P2" s="2"/>
      <c r="Q2" s="2"/>
      <c r="R2" s="2"/>
      <c r="S2" s="2"/>
    </row>
    <row r="3" spans="1:19" s="97" customFormat="1" ht="15" customHeight="1">
      <c r="A3" s="16"/>
      <c r="B3" s="16"/>
      <c r="C3" s="460" t="s">
        <v>831</v>
      </c>
      <c r="D3" s="461"/>
      <c r="E3" s="461"/>
      <c r="F3" s="461"/>
      <c r="G3" s="461"/>
      <c r="H3" s="461"/>
      <c r="I3" s="4" t="s">
        <v>698</v>
      </c>
      <c r="K3" s="5"/>
      <c r="L3" s="461" t="s">
        <v>832</v>
      </c>
      <c r="M3" s="461"/>
      <c r="N3" s="461"/>
      <c r="O3" s="461"/>
      <c r="P3" s="461"/>
      <c r="Q3" s="461"/>
      <c r="R3" s="461"/>
      <c r="S3" s="107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31.5" customHeight="1">
      <c r="A5" s="576"/>
      <c r="B5" s="576"/>
      <c r="C5" s="577"/>
      <c r="D5" s="507" t="s">
        <v>923</v>
      </c>
      <c r="E5" s="507" t="s">
        <v>924</v>
      </c>
      <c r="F5" s="507" t="s">
        <v>925</v>
      </c>
      <c r="G5" s="507" t="s">
        <v>707</v>
      </c>
      <c r="H5" s="495" t="s">
        <v>926</v>
      </c>
      <c r="I5" s="496"/>
      <c r="J5" s="496"/>
      <c r="K5" s="574" t="s">
        <v>667</v>
      </c>
      <c r="L5" s="574"/>
      <c r="M5" s="574"/>
      <c r="N5" s="574"/>
      <c r="O5" s="575"/>
      <c r="P5" s="495" t="s">
        <v>315</v>
      </c>
      <c r="Q5" s="496"/>
      <c r="R5" s="496"/>
      <c r="S5" s="496"/>
    </row>
    <row r="6" spans="1:19" s="42" customFormat="1" ht="69" customHeight="1">
      <c r="A6" s="578"/>
      <c r="B6" s="578"/>
      <c r="C6" s="579"/>
      <c r="D6" s="512"/>
      <c r="E6" s="512"/>
      <c r="F6" s="513"/>
      <c r="G6" s="508"/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929</v>
      </c>
      <c r="S6" s="120" t="s">
        <v>711</v>
      </c>
    </row>
    <row r="7" spans="1:19" s="93" customFormat="1" ht="13.5" customHeight="1">
      <c r="A7" s="532" t="s">
        <v>670</v>
      </c>
      <c r="B7" s="491"/>
      <c r="C7" s="141" t="s">
        <v>702</v>
      </c>
      <c r="D7" s="130">
        <f>SUM(D10,D40,'表33(續1)'!D34,'表33(續2)'!D25,'表33(續完)'!D16)</f>
        <v>51259</v>
      </c>
      <c r="E7" s="131">
        <f>SUM(E10,E40,'表33(續1)'!E34,'表33(續2)'!E25,'表33(續完)'!E16)</f>
        <v>47242</v>
      </c>
      <c r="F7" s="131">
        <f>SUM(F10,F40,'表33(續1)'!F34,'表33(續2)'!F25,'表33(續完)'!F16)</f>
        <v>4060</v>
      </c>
      <c r="G7" s="131">
        <v>43</v>
      </c>
      <c r="H7" s="131">
        <f>SUM(H10,H40,'表33(續1)'!H34,'表33(續2)'!H25,'表33(續完)'!H16)</f>
        <v>107</v>
      </c>
      <c r="I7" s="131">
        <f>SUM(I10,I40,'表33(續1)'!I34,'表33(續2)'!I25,'表33(續完)'!I16)</f>
        <v>4217</v>
      </c>
      <c r="J7" s="131">
        <f>SUM(J10,J40,'表33(續1)'!J34,'表33(續2)'!J25,'表33(續完)'!J16)</f>
        <v>11870</v>
      </c>
      <c r="K7" s="131">
        <f>SUM(K10,K40,'表33(續1)'!K34,'表33(續2)'!K25,'表33(續完)'!K16)</f>
        <v>14097</v>
      </c>
      <c r="L7" s="131">
        <f>SUM(L10,L40,'表33(續1)'!L34,'表33(續2)'!L25,'表33(續完)'!L16)</f>
        <v>11274</v>
      </c>
      <c r="M7" s="131">
        <f>SUM(M10,M40,'表33(續1)'!M34,'表33(續2)'!M25,'表33(續完)'!M16)</f>
        <v>6762</v>
      </c>
      <c r="N7" s="131">
        <f>SUM(N10,N40,'表33(續1)'!N34,'表33(續2)'!N25,'表33(續完)'!N16)</f>
        <v>2376</v>
      </c>
      <c r="O7" s="131">
        <f>SUM(O10,O40,'表33(續1)'!O34,'表33(續2)'!O25,'表33(續完)'!O16)</f>
        <v>556</v>
      </c>
      <c r="P7" s="131">
        <f>SUM(P10,P40,'表33(續1)'!P34,'表33(續2)'!P25,'表33(續完)'!P16)</f>
        <v>5375</v>
      </c>
      <c r="Q7" s="131">
        <f>SUM(Q10,Q40,'表33(續1)'!Q34,'表33(續2)'!Q25,'表33(續完)'!Q16)</f>
        <v>21850</v>
      </c>
      <c r="R7" s="131">
        <f>SUM(R10,R40,'表33(續1)'!R34,'表33(續2)'!R25,'表33(續完)'!R16)</f>
        <v>11027</v>
      </c>
      <c r="S7" s="131">
        <f>SUM(S10,S40,'表33(續1)'!S34,'表33(續2)'!S25,'表33(續完)'!S16)</f>
        <v>161</v>
      </c>
    </row>
    <row r="8" spans="1:19" s="93" customFormat="1" ht="13.5" customHeight="1">
      <c r="A8" s="533"/>
      <c r="B8" s="492"/>
      <c r="C8" s="143" t="s">
        <v>703</v>
      </c>
      <c r="D8" s="24">
        <f>SUM(D11,D41,'表33(續1)'!D35,'表33(續2)'!D26,'表33(續完)'!D17)</f>
        <v>36142</v>
      </c>
      <c r="E8" s="10">
        <f>SUM(E11,E41,'表33(續1)'!E35,'表33(續2)'!E26,'表33(續完)'!E17)</f>
        <v>32905</v>
      </c>
      <c r="F8" s="10">
        <f>SUM(F11,F41,'表33(續1)'!F35,'表33(續2)'!F26,'表33(續完)'!F17)</f>
        <v>3237</v>
      </c>
      <c r="G8" s="10">
        <v>42</v>
      </c>
      <c r="H8" s="10">
        <f>SUM(H11,H41,'表33(續1)'!H35,'表33(續2)'!H26,'表33(續完)'!H17)</f>
        <v>106</v>
      </c>
      <c r="I8" s="10">
        <f>SUM(I11,I41,'表33(續1)'!I35,'表33(續2)'!I26,'表33(續完)'!I17)</f>
        <v>3893</v>
      </c>
      <c r="J8" s="10">
        <f>SUM(J11,J41,'表33(續1)'!J35,'表33(續2)'!J26,'表33(續完)'!J17)</f>
        <v>8964</v>
      </c>
      <c r="K8" s="10">
        <f>SUM(K11,K41,'表33(續1)'!K35,'表33(續2)'!K26,'表33(續完)'!K17)</f>
        <v>9577</v>
      </c>
      <c r="L8" s="10">
        <f>SUM(L11,L41,'表33(續1)'!L35,'表33(續2)'!L26,'表33(續完)'!L17)</f>
        <v>7048</v>
      </c>
      <c r="M8" s="10">
        <f>SUM(M11,M41,'表33(續1)'!M35,'表33(續2)'!M26,'表33(續完)'!M17)</f>
        <v>4453</v>
      </c>
      <c r="N8" s="10">
        <f>SUM(N11,N41,'表33(續1)'!N35,'表33(續2)'!N26,'表33(續完)'!N17)</f>
        <v>1679</v>
      </c>
      <c r="O8" s="10">
        <f>SUM(O11,O41,'表33(續1)'!O35,'表33(續2)'!O26,'表33(續完)'!O17)</f>
        <v>422</v>
      </c>
      <c r="P8" s="10">
        <f>SUM(P11,P41,'表33(續1)'!P35,'表33(續2)'!P26,'表33(續完)'!P17)</f>
        <v>3404</v>
      </c>
      <c r="Q8" s="10">
        <f>SUM(Q11,Q41,'表33(續1)'!Q35,'表33(續2)'!Q26,'表33(續完)'!Q17)</f>
        <v>12547</v>
      </c>
      <c r="R8" s="10">
        <f>SUM(R11,R41,'表33(續1)'!R35,'表33(續2)'!R26,'表33(續完)'!R17)</f>
        <v>9820</v>
      </c>
      <c r="S8" s="10">
        <f>SUM(S11,S41,'表33(續1)'!S35,'表33(續2)'!S26,'表33(續完)'!S17)</f>
        <v>133</v>
      </c>
    </row>
    <row r="9" spans="1:19" s="93" customFormat="1" ht="13.5" customHeight="1">
      <c r="A9" s="533"/>
      <c r="B9" s="492"/>
      <c r="C9" s="235" t="s">
        <v>704</v>
      </c>
      <c r="D9" s="24">
        <f>SUM(D12,D42,'表33(續1)'!D36,'表33(續2)'!D27,'表33(續完)'!D18)</f>
        <v>15117</v>
      </c>
      <c r="E9" s="10">
        <f>SUM(E12,E42,'表33(續1)'!E36,'表33(續2)'!E27,'表33(續完)'!E18)</f>
        <v>14294</v>
      </c>
      <c r="F9" s="10">
        <f>SUM(F12,F42,'表33(續1)'!F36,'表33(續2)'!F27,'表33(續完)'!F18)</f>
        <v>823</v>
      </c>
      <c r="G9" s="10">
        <v>44</v>
      </c>
      <c r="H9" s="31">
        <f>SUM(H12,H42,'表33(續1)'!H36,'表33(續2)'!H27,'表33(續完)'!H18)</f>
        <v>1</v>
      </c>
      <c r="I9" s="31">
        <f>SUM(I12,I42,'表33(續1)'!I36,'表33(續2)'!I27,'表33(續完)'!I18)</f>
        <v>324</v>
      </c>
      <c r="J9" s="31">
        <f>SUM(J12,J42,'表33(續1)'!J36,'表33(續2)'!J27,'表33(續完)'!J18)</f>
        <v>2906</v>
      </c>
      <c r="K9" s="31">
        <f>SUM(K12,K42,'表33(續1)'!K36,'表33(續2)'!K27,'表33(續完)'!K18)</f>
        <v>4520</v>
      </c>
      <c r="L9" s="31">
        <f>SUM(L12,L42,'表33(續1)'!L36,'表33(續2)'!L27,'表33(續完)'!L18)</f>
        <v>4226</v>
      </c>
      <c r="M9" s="31">
        <f>SUM(M12,M42,'表33(續1)'!M36,'表33(續2)'!M27,'表33(續完)'!M18)</f>
        <v>2309</v>
      </c>
      <c r="N9" s="31">
        <f>SUM(N12,N42,'表33(續1)'!N36,'表33(續2)'!N27,'表33(續完)'!N18)</f>
        <v>697</v>
      </c>
      <c r="O9" s="31">
        <f>SUM(O12,O42,'表33(續1)'!O36,'表33(續2)'!O27,'表33(續完)'!O18)</f>
        <v>134</v>
      </c>
      <c r="P9" s="31">
        <f>SUM(P12,P42,'表33(續1)'!P36,'表33(續2)'!P27,'表33(續完)'!P18)</f>
        <v>1971</v>
      </c>
      <c r="Q9" s="31">
        <f>SUM(Q12,Q42,'表33(續1)'!Q36,'表33(續2)'!Q27,'表33(續完)'!Q18)</f>
        <v>9303</v>
      </c>
      <c r="R9" s="31">
        <f>SUM(R12,R42,'表33(續1)'!R36,'表33(續2)'!R27,'表33(續完)'!R18)</f>
        <v>1207</v>
      </c>
      <c r="S9" s="31">
        <f>SUM(S12,S42,'表33(續1)'!S36,'表33(續2)'!S27,'表33(續完)'!S18)</f>
        <v>28</v>
      </c>
    </row>
    <row r="10" spans="1:19" s="93" customFormat="1" ht="13.5" customHeight="1">
      <c r="A10" s="524" t="s">
        <v>582</v>
      </c>
      <c r="B10" s="534" t="s">
        <v>581</v>
      </c>
      <c r="C10" s="234" t="s">
        <v>702</v>
      </c>
      <c r="D10" s="140">
        <f>SUM(D13,D16,D19,D22,D25,D28,D31,D34,D37)</f>
        <v>11844</v>
      </c>
      <c r="E10" s="56">
        <f aca="true" t="shared" si="0" ref="D10:F12">SUM(E13,E16,E19,E22,E25,E28,E31,E34,E37)</f>
        <v>11113</v>
      </c>
      <c r="F10" s="56">
        <f t="shared" si="0"/>
        <v>731</v>
      </c>
      <c r="G10" s="56">
        <f>SUM(G11:G12)/2</f>
        <v>44.66666666666667</v>
      </c>
      <c r="H10" s="56">
        <f>SUM(H13,H16,H19,H22,H25,H28,H31,H34,H37)</f>
        <v>0</v>
      </c>
      <c r="I10" s="56">
        <f aca="true" t="shared" si="1" ref="I10:S10">SUM(I13,I16,I19,I22,I25,I28,I31,I34,I37)</f>
        <v>43</v>
      </c>
      <c r="J10" s="56">
        <f t="shared" si="1"/>
        <v>1897</v>
      </c>
      <c r="K10" s="56">
        <f t="shared" si="1"/>
        <v>3606</v>
      </c>
      <c r="L10" s="56">
        <f t="shared" si="1"/>
        <v>3235</v>
      </c>
      <c r="M10" s="56">
        <f t="shared" si="1"/>
        <v>2135</v>
      </c>
      <c r="N10" s="56">
        <f t="shared" si="1"/>
        <v>734</v>
      </c>
      <c r="O10" s="56">
        <f t="shared" si="1"/>
        <v>194</v>
      </c>
      <c r="P10" s="56">
        <f t="shared" si="1"/>
        <v>4789</v>
      </c>
      <c r="Q10" s="56">
        <f t="shared" si="1"/>
        <v>6003</v>
      </c>
      <c r="R10" s="56">
        <f t="shared" si="1"/>
        <v>97</v>
      </c>
      <c r="S10" s="56">
        <f t="shared" si="1"/>
        <v>1</v>
      </c>
    </row>
    <row r="11" spans="1:19" s="93" customFormat="1" ht="13.5" customHeight="1">
      <c r="A11" s="525"/>
      <c r="B11" s="516"/>
      <c r="C11" s="124" t="s">
        <v>703</v>
      </c>
      <c r="D11" s="24">
        <f t="shared" si="0"/>
        <v>7345</v>
      </c>
      <c r="E11" s="10">
        <f t="shared" si="0"/>
        <v>6824</v>
      </c>
      <c r="F11" s="10">
        <f t="shared" si="0"/>
        <v>521</v>
      </c>
      <c r="G11" s="10">
        <f>SUM(G14,G17,G20,G23,G26,G29,G32,G35,G38)/9</f>
        <v>46</v>
      </c>
      <c r="H11" s="10">
        <f>SUM(H14,H17,H20,H23,H26,H29,H32,H35,H38)</f>
        <v>0</v>
      </c>
      <c r="I11" s="10">
        <f aca="true" t="shared" si="2" ref="I11:S11">SUM(I14,I17,I20,I23,I26,I29,I32,I35,I38)</f>
        <v>10</v>
      </c>
      <c r="J11" s="10">
        <f t="shared" si="2"/>
        <v>728</v>
      </c>
      <c r="K11" s="10">
        <f t="shared" si="2"/>
        <v>2211</v>
      </c>
      <c r="L11" s="10">
        <f t="shared" si="2"/>
        <v>2120</v>
      </c>
      <c r="M11" s="10">
        <f t="shared" si="2"/>
        <v>1519</v>
      </c>
      <c r="N11" s="10">
        <f t="shared" si="2"/>
        <v>580</v>
      </c>
      <c r="O11" s="10">
        <f t="shared" si="2"/>
        <v>177</v>
      </c>
      <c r="P11" s="10">
        <f t="shared" si="2"/>
        <v>3016</v>
      </c>
      <c r="Q11" s="10">
        <f t="shared" si="2"/>
        <v>3609</v>
      </c>
      <c r="R11" s="10">
        <f t="shared" si="2"/>
        <v>83</v>
      </c>
      <c r="S11" s="10">
        <f t="shared" si="2"/>
        <v>1</v>
      </c>
    </row>
    <row r="12" spans="1:19" s="93" customFormat="1" ht="13.5" customHeight="1">
      <c r="A12" s="525"/>
      <c r="B12" s="517"/>
      <c r="C12" s="235" t="s">
        <v>704</v>
      </c>
      <c r="D12" s="24">
        <f t="shared" si="0"/>
        <v>4499</v>
      </c>
      <c r="E12" s="10">
        <f t="shared" si="0"/>
        <v>4289</v>
      </c>
      <c r="F12" s="10">
        <f t="shared" si="0"/>
        <v>210</v>
      </c>
      <c r="G12" s="10">
        <f>SUM(G15,G18,G21,G24,G27,G30,G33,G36,G39)/9</f>
        <v>43.333333333333336</v>
      </c>
      <c r="H12" s="10">
        <f>SUM(H15,H18,H21,H24,H27,H30,H33,H36,H39)</f>
        <v>0</v>
      </c>
      <c r="I12" s="10">
        <f aca="true" t="shared" si="3" ref="I12:S12">SUM(I15,I18,I21,I24,I27,I30,I33,I36,I39)</f>
        <v>33</v>
      </c>
      <c r="J12" s="10">
        <f t="shared" si="3"/>
        <v>1169</v>
      </c>
      <c r="K12" s="10">
        <f t="shared" si="3"/>
        <v>1395</v>
      </c>
      <c r="L12" s="10">
        <f t="shared" si="3"/>
        <v>1115</v>
      </c>
      <c r="M12" s="10">
        <f t="shared" si="3"/>
        <v>616</v>
      </c>
      <c r="N12" s="10">
        <f t="shared" si="3"/>
        <v>154</v>
      </c>
      <c r="O12" s="10">
        <f t="shared" si="3"/>
        <v>17</v>
      </c>
      <c r="P12" s="10">
        <f t="shared" si="3"/>
        <v>1773</v>
      </c>
      <c r="Q12" s="10">
        <f t="shared" si="3"/>
        <v>2394</v>
      </c>
      <c r="R12" s="10">
        <f t="shared" si="3"/>
        <v>14</v>
      </c>
      <c r="S12" s="10">
        <f t="shared" si="3"/>
        <v>0</v>
      </c>
    </row>
    <row r="13" spans="1:19" s="93" customFormat="1" ht="13.5" customHeight="1">
      <c r="A13" s="525"/>
      <c r="B13" s="491" t="s">
        <v>520</v>
      </c>
      <c r="C13" s="234" t="s">
        <v>702</v>
      </c>
      <c r="D13" s="54">
        <f>SUM(D14:D15)</f>
        <v>954</v>
      </c>
      <c r="E13" s="55">
        <f aca="true" t="shared" si="4" ref="E13:S13">SUM(E14:E15)</f>
        <v>949</v>
      </c>
      <c r="F13" s="55">
        <f t="shared" si="4"/>
        <v>5</v>
      </c>
      <c r="G13" s="55">
        <f>SUM(G14:G15)/2</f>
        <v>43.5</v>
      </c>
      <c r="H13" s="55">
        <f>SUM(H14:H15)</f>
        <v>0</v>
      </c>
      <c r="I13" s="55">
        <f t="shared" si="4"/>
        <v>6</v>
      </c>
      <c r="J13" s="55">
        <f t="shared" si="4"/>
        <v>186</v>
      </c>
      <c r="K13" s="55">
        <f t="shared" si="4"/>
        <v>292</v>
      </c>
      <c r="L13" s="55">
        <f t="shared" si="4"/>
        <v>282</v>
      </c>
      <c r="M13" s="55">
        <f t="shared" si="4"/>
        <v>142</v>
      </c>
      <c r="N13" s="55">
        <f t="shared" si="4"/>
        <v>34</v>
      </c>
      <c r="O13" s="55">
        <f t="shared" si="4"/>
        <v>12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</row>
    <row r="14" spans="1:19" s="93" customFormat="1" ht="13.5" customHeight="1">
      <c r="A14" s="525"/>
      <c r="B14" s="492"/>
      <c r="C14" s="124" t="s">
        <v>703</v>
      </c>
      <c r="D14" s="24">
        <v>636</v>
      </c>
      <c r="E14" s="10">
        <v>633</v>
      </c>
      <c r="F14" s="10">
        <v>3</v>
      </c>
      <c r="G14" s="10">
        <v>45</v>
      </c>
      <c r="H14" s="10">
        <v>0</v>
      </c>
      <c r="I14" s="10">
        <v>2</v>
      </c>
      <c r="J14" s="10">
        <v>86</v>
      </c>
      <c r="K14" s="10">
        <v>200</v>
      </c>
      <c r="L14" s="10">
        <v>190</v>
      </c>
      <c r="M14" s="10">
        <v>118</v>
      </c>
      <c r="N14" s="10">
        <v>28</v>
      </c>
      <c r="O14" s="10">
        <v>12</v>
      </c>
      <c r="P14" s="10">
        <v>0</v>
      </c>
      <c r="Q14" s="10">
        <v>0</v>
      </c>
      <c r="R14" s="10">
        <v>0</v>
      </c>
      <c r="S14" s="10">
        <v>0</v>
      </c>
    </row>
    <row r="15" spans="1:19" s="93" customFormat="1" ht="13.5" customHeight="1">
      <c r="A15" s="525"/>
      <c r="B15" s="493"/>
      <c r="C15" s="235" t="s">
        <v>704</v>
      </c>
      <c r="D15" s="24">
        <v>318</v>
      </c>
      <c r="E15" s="10">
        <v>316</v>
      </c>
      <c r="F15" s="10">
        <v>2</v>
      </c>
      <c r="G15" s="10">
        <v>42</v>
      </c>
      <c r="H15" s="10">
        <v>0</v>
      </c>
      <c r="I15" s="10">
        <v>4</v>
      </c>
      <c r="J15" s="10">
        <v>100</v>
      </c>
      <c r="K15" s="10">
        <v>92</v>
      </c>
      <c r="L15" s="10">
        <v>92</v>
      </c>
      <c r="M15" s="10">
        <v>24</v>
      </c>
      <c r="N15" s="10">
        <v>6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s="93" customFormat="1" ht="13.5" customHeight="1">
      <c r="A16" s="525"/>
      <c r="B16" s="492" t="s">
        <v>521</v>
      </c>
      <c r="C16" s="234" t="s">
        <v>702</v>
      </c>
      <c r="D16" s="54">
        <f>SUM(D17:D18)</f>
        <v>1233</v>
      </c>
      <c r="E16" s="55">
        <f aca="true" t="shared" si="5" ref="E16:S16">SUM(E17:E18)</f>
        <v>1200</v>
      </c>
      <c r="F16" s="55">
        <f t="shared" si="5"/>
        <v>33</v>
      </c>
      <c r="G16" s="55">
        <f>SUM(G17:G18)/2</f>
        <v>44</v>
      </c>
      <c r="H16" s="55">
        <f t="shared" si="5"/>
        <v>0</v>
      </c>
      <c r="I16" s="55">
        <f t="shared" si="5"/>
        <v>5</v>
      </c>
      <c r="J16" s="55">
        <f t="shared" si="5"/>
        <v>216</v>
      </c>
      <c r="K16" s="55">
        <f t="shared" si="5"/>
        <v>384</v>
      </c>
      <c r="L16" s="55">
        <f t="shared" si="5"/>
        <v>373</v>
      </c>
      <c r="M16" s="55">
        <f t="shared" si="5"/>
        <v>183</v>
      </c>
      <c r="N16" s="55">
        <f t="shared" si="5"/>
        <v>59</v>
      </c>
      <c r="O16" s="55">
        <f t="shared" si="5"/>
        <v>13</v>
      </c>
      <c r="P16" s="55">
        <f t="shared" si="5"/>
        <v>423</v>
      </c>
      <c r="Q16" s="55">
        <f t="shared" si="5"/>
        <v>791</v>
      </c>
      <c r="R16" s="55">
        <f t="shared" si="5"/>
        <v>18</v>
      </c>
      <c r="S16" s="55">
        <f t="shared" si="5"/>
        <v>1</v>
      </c>
    </row>
    <row r="17" spans="1:19" s="93" customFormat="1" ht="13.5" customHeight="1">
      <c r="A17" s="525"/>
      <c r="B17" s="492"/>
      <c r="C17" s="124" t="s">
        <v>703</v>
      </c>
      <c r="D17" s="24">
        <v>805</v>
      </c>
      <c r="E17" s="10">
        <v>776</v>
      </c>
      <c r="F17" s="10">
        <v>29</v>
      </c>
      <c r="G17" s="10">
        <v>45</v>
      </c>
      <c r="H17" s="10">
        <v>0</v>
      </c>
      <c r="I17" s="10">
        <v>1</v>
      </c>
      <c r="J17" s="10">
        <v>93</v>
      </c>
      <c r="K17" s="10">
        <v>259</v>
      </c>
      <c r="L17" s="10">
        <v>254</v>
      </c>
      <c r="M17" s="10">
        <v>132</v>
      </c>
      <c r="N17" s="10">
        <v>53</v>
      </c>
      <c r="O17" s="10">
        <v>13</v>
      </c>
      <c r="P17" s="10">
        <v>278</v>
      </c>
      <c r="Q17" s="10">
        <v>509</v>
      </c>
      <c r="R17" s="10">
        <v>17</v>
      </c>
      <c r="S17" s="10">
        <v>1</v>
      </c>
    </row>
    <row r="18" spans="1:19" s="93" customFormat="1" ht="13.5" customHeight="1">
      <c r="A18" s="525"/>
      <c r="B18" s="492"/>
      <c r="C18" s="235" t="s">
        <v>704</v>
      </c>
      <c r="D18" s="24">
        <v>428</v>
      </c>
      <c r="E18" s="10">
        <v>424</v>
      </c>
      <c r="F18" s="10">
        <v>4</v>
      </c>
      <c r="G18" s="10">
        <v>43</v>
      </c>
      <c r="H18" s="10">
        <v>0</v>
      </c>
      <c r="I18" s="10">
        <v>4</v>
      </c>
      <c r="J18" s="10">
        <v>123</v>
      </c>
      <c r="K18" s="10">
        <v>125</v>
      </c>
      <c r="L18" s="10">
        <v>119</v>
      </c>
      <c r="M18" s="10">
        <v>51</v>
      </c>
      <c r="N18" s="10">
        <v>6</v>
      </c>
      <c r="O18" s="10">
        <v>0</v>
      </c>
      <c r="P18" s="10">
        <v>145</v>
      </c>
      <c r="Q18" s="10">
        <v>282</v>
      </c>
      <c r="R18" s="10">
        <v>1</v>
      </c>
      <c r="S18" s="10">
        <v>0</v>
      </c>
    </row>
    <row r="19" spans="1:19" s="93" customFormat="1" ht="13.5" customHeight="1">
      <c r="A19" s="525"/>
      <c r="B19" s="491" t="s">
        <v>522</v>
      </c>
      <c r="C19" s="234" t="s">
        <v>702</v>
      </c>
      <c r="D19" s="54">
        <f>SUM(D20:D21)</f>
        <v>1212</v>
      </c>
      <c r="E19" s="55">
        <f aca="true" t="shared" si="6" ref="E19:S19">SUM(E20:E21)</f>
        <v>1184</v>
      </c>
      <c r="F19" s="55">
        <f t="shared" si="6"/>
        <v>28</v>
      </c>
      <c r="G19" s="55">
        <f>SUM(G20:G21)/2</f>
        <v>44.5</v>
      </c>
      <c r="H19" s="55">
        <f t="shared" si="6"/>
        <v>0</v>
      </c>
      <c r="I19" s="55">
        <f t="shared" si="6"/>
        <v>4</v>
      </c>
      <c r="J19" s="55">
        <f t="shared" si="6"/>
        <v>193</v>
      </c>
      <c r="K19" s="55">
        <f t="shared" si="6"/>
        <v>378</v>
      </c>
      <c r="L19" s="55">
        <f t="shared" si="6"/>
        <v>357</v>
      </c>
      <c r="M19" s="55">
        <f t="shared" si="6"/>
        <v>191</v>
      </c>
      <c r="N19" s="55">
        <f t="shared" si="6"/>
        <v>66</v>
      </c>
      <c r="O19" s="55">
        <f t="shared" si="6"/>
        <v>23</v>
      </c>
      <c r="P19" s="55">
        <f t="shared" si="6"/>
        <v>428</v>
      </c>
      <c r="Q19" s="55">
        <f t="shared" si="6"/>
        <v>771</v>
      </c>
      <c r="R19" s="55">
        <f t="shared" si="6"/>
        <v>13</v>
      </c>
      <c r="S19" s="55">
        <f t="shared" si="6"/>
        <v>0</v>
      </c>
    </row>
    <row r="20" spans="1:19" s="93" customFormat="1" ht="14.25" customHeight="1">
      <c r="A20" s="525"/>
      <c r="B20" s="492"/>
      <c r="C20" s="124" t="s">
        <v>703</v>
      </c>
      <c r="D20" s="24">
        <v>771</v>
      </c>
      <c r="E20" s="10">
        <v>750</v>
      </c>
      <c r="F20" s="10">
        <v>21</v>
      </c>
      <c r="G20" s="10">
        <v>46</v>
      </c>
      <c r="H20" s="10">
        <v>0</v>
      </c>
      <c r="I20" s="10">
        <v>2</v>
      </c>
      <c r="J20" s="10">
        <v>87</v>
      </c>
      <c r="K20" s="10">
        <v>226</v>
      </c>
      <c r="L20" s="10">
        <v>232</v>
      </c>
      <c r="M20" s="10">
        <v>143</v>
      </c>
      <c r="N20" s="10">
        <v>60</v>
      </c>
      <c r="O20" s="10">
        <v>21</v>
      </c>
      <c r="P20" s="10">
        <v>303</v>
      </c>
      <c r="Q20" s="10">
        <v>457</v>
      </c>
      <c r="R20" s="10">
        <v>11</v>
      </c>
      <c r="S20" s="10">
        <v>0</v>
      </c>
    </row>
    <row r="21" spans="1:19" s="93" customFormat="1" ht="14.25">
      <c r="A21" s="525"/>
      <c r="B21" s="493"/>
      <c r="C21" s="235" t="s">
        <v>704</v>
      </c>
      <c r="D21" s="24">
        <v>441</v>
      </c>
      <c r="E21" s="10">
        <v>434</v>
      </c>
      <c r="F21" s="10">
        <v>7</v>
      </c>
      <c r="G21" s="10">
        <v>43</v>
      </c>
      <c r="H21" s="10">
        <v>0</v>
      </c>
      <c r="I21" s="10">
        <v>2</v>
      </c>
      <c r="J21" s="10">
        <v>106</v>
      </c>
      <c r="K21" s="10">
        <v>152</v>
      </c>
      <c r="L21" s="10">
        <v>125</v>
      </c>
      <c r="M21" s="10">
        <v>48</v>
      </c>
      <c r="N21" s="10">
        <v>6</v>
      </c>
      <c r="O21" s="10">
        <v>2</v>
      </c>
      <c r="P21" s="10">
        <v>125</v>
      </c>
      <c r="Q21" s="10">
        <v>314</v>
      </c>
      <c r="R21" s="10">
        <v>2</v>
      </c>
      <c r="S21" s="10">
        <v>0</v>
      </c>
    </row>
    <row r="22" spans="1:19" s="93" customFormat="1" ht="14.25">
      <c r="A22" s="525"/>
      <c r="B22" s="492" t="s">
        <v>532</v>
      </c>
      <c r="C22" s="234" t="s">
        <v>702</v>
      </c>
      <c r="D22" s="54">
        <f>SUM(D23:D24)</f>
        <v>1447</v>
      </c>
      <c r="E22" s="55">
        <f aca="true" t="shared" si="7" ref="E22:S22">SUM(E23:E24)</f>
        <v>1423</v>
      </c>
      <c r="F22" s="55">
        <f t="shared" si="7"/>
        <v>24</v>
      </c>
      <c r="G22" s="55">
        <f>SUM(G23:G24)/2</f>
        <v>44.5</v>
      </c>
      <c r="H22" s="55">
        <f t="shared" si="7"/>
        <v>0</v>
      </c>
      <c r="I22" s="55">
        <f t="shared" si="7"/>
        <v>10</v>
      </c>
      <c r="J22" s="55">
        <f t="shared" si="7"/>
        <v>218</v>
      </c>
      <c r="K22" s="55">
        <f t="shared" si="7"/>
        <v>414</v>
      </c>
      <c r="L22" s="55">
        <f t="shared" si="7"/>
        <v>406</v>
      </c>
      <c r="M22" s="55">
        <f t="shared" si="7"/>
        <v>317</v>
      </c>
      <c r="N22" s="55">
        <f t="shared" si="7"/>
        <v>73</v>
      </c>
      <c r="O22" s="55">
        <f t="shared" si="7"/>
        <v>9</v>
      </c>
      <c r="P22" s="55">
        <f t="shared" si="7"/>
        <v>466</v>
      </c>
      <c r="Q22" s="55">
        <f t="shared" si="7"/>
        <v>969</v>
      </c>
      <c r="R22" s="55">
        <f t="shared" si="7"/>
        <v>12</v>
      </c>
      <c r="S22" s="55">
        <f t="shared" si="7"/>
        <v>0</v>
      </c>
    </row>
    <row r="23" spans="1:19" s="93" customFormat="1" ht="14.25">
      <c r="A23" s="525"/>
      <c r="B23" s="492"/>
      <c r="C23" s="124" t="s">
        <v>703</v>
      </c>
      <c r="D23" s="24">
        <v>963</v>
      </c>
      <c r="E23" s="10">
        <v>944</v>
      </c>
      <c r="F23" s="10">
        <v>19</v>
      </c>
      <c r="G23" s="10">
        <v>46</v>
      </c>
      <c r="H23" s="10">
        <v>0</v>
      </c>
      <c r="I23" s="10">
        <v>1</v>
      </c>
      <c r="J23" s="10">
        <v>90</v>
      </c>
      <c r="K23" s="10">
        <v>261</v>
      </c>
      <c r="L23" s="10">
        <v>285</v>
      </c>
      <c r="M23" s="10">
        <v>265</v>
      </c>
      <c r="N23" s="10">
        <v>55</v>
      </c>
      <c r="O23" s="10">
        <v>6</v>
      </c>
      <c r="P23" s="10">
        <v>293</v>
      </c>
      <c r="Q23" s="10">
        <v>660</v>
      </c>
      <c r="R23" s="10">
        <v>10</v>
      </c>
      <c r="S23" s="10">
        <v>0</v>
      </c>
    </row>
    <row r="24" spans="1:19" s="93" customFormat="1" ht="14.25">
      <c r="A24" s="525"/>
      <c r="B24" s="492"/>
      <c r="C24" s="235" t="s">
        <v>704</v>
      </c>
      <c r="D24" s="24">
        <v>484</v>
      </c>
      <c r="E24" s="10">
        <v>479</v>
      </c>
      <c r="F24" s="10">
        <v>5</v>
      </c>
      <c r="G24" s="10">
        <v>43</v>
      </c>
      <c r="H24" s="10">
        <v>0</v>
      </c>
      <c r="I24" s="10">
        <v>9</v>
      </c>
      <c r="J24" s="10">
        <v>128</v>
      </c>
      <c r="K24" s="10">
        <v>153</v>
      </c>
      <c r="L24" s="10">
        <v>121</v>
      </c>
      <c r="M24" s="10">
        <v>52</v>
      </c>
      <c r="N24" s="10">
        <v>18</v>
      </c>
      <c r="O24" s="10">
        <v>3</v>
      </c>
      <c r="P24" s="10">
        <v>173</v>
      </c>
      <c r="Q24" s="10">
        <v>309</v>
      </c>
      <c r="R24" s="10">
        <v>2</v>
      </c>
      <c r="S24" s="10">
        <v>0</v>
      </c>
    </row>
    <row r="25" spans="1:19" s="93" customFormat="1" ht="14.25">
      <c r="A25" s="522" t="s">
        <v>583</v>
      </c>
      <c r="B25" s="491" t="s">
        <v>533</v>
      </c>
      <c r="C25" s="234" t="s">
        <v>702</v>
      </c>
      <c r="D25" s="54">
        <f>SUM(D26:D27)</f>
        <v>1366</v>
      </c>
      <c r="E25" s="55">
        <f aca="true" t="shared" si="8" ref="E25:S25">SUM(E26:E27)</f>
        <v>1255</v>
      </c>
      <c r="F25" s="55">
        <f t="shared" si="8"/>
        <v>111</v>
      </c>
      <c r="G25" s="55">
        <f>SUM(G26:G27)/2</f>
        <v>44.5</v>
      </c>
      <c r="H25" s="55">
        <f t="shared" si="8"/>
        <v>0</v>
      </c>
      <c r="I25" s="55">
        <f t="shared" si="8"/>
        <v>9</v>
      </c>
      <c r="J25" s="55">
        <f t="shared" si="8"/>
        <v>214</v>
      </c>
      <c r="K25" s="55">
        <f t="shared" si="8"/>
        <v>394</v>
      </c>
      <c r="L25" s="55">
        <f t="shared" si="8"/>
        <v>368</v>
      </c>
      <c r="M25" s="55">
        <f t="shared" si="8"/>
        <v>283</v>
      </c>
      <c r="N25" s="55">
        <f t="shared" si="8"/>
        <v>84</v>
      </c>
      <c r="O25" s="55">
        <f t="shared" si="8"/>
        <v>14</v>
      </c>
      <c r="P25" s="55">
        <f t="shared" si="8"/>
        <v>652</v>
      </c>
      <c r="Q25" s="55">
        <f t="shared" si="8"/>
        <v>699</v>
      </c>
      <c r="R25" s="55">
        <f t="shared" si="8"/>
        <v>15</v>
      </c>
      <c r="S25" s="55">
        <f t="shared" si="8"/>
        <v>0</v>
      </c>
    </row>
    <row r="26" spans="1:19" s="93" customFormat="1" ht="14.25">
      <c r="A26" s="522"/>
      <c r="B26" s="492"/>
      <c r="C26" s="124" t="s">
        <v>703</v>
      </c>
      <c r="D26" s="24">
        <v>868</v>
      </c>
      <c r="E26" s="10">
        <v>785</v>
      </c>
      <c r="F26" s="10">
        <v>83</v>
      </c>
      <c r="G26" s="10">
        <v>46</v>
      </c>
      <c r="H26" s="10">
        <v>0</v>
      </c>
      <c r="I26" s="10">
        <v>1</v>
      </c>
      <c r="J26" s="10">
        <v>79</v>
      </c>
      <c r="K26" s="10">
        <v>260</v>
      </c>
      <c r="L26" s="10">
        <v>235</v>
      </c>
      <c r="M26" s="10">
        <v>215</v>
      </c>
      <c r="N26" s="10">
        <v>64</v>
      </c>
      <c r="O26" s="10">
        <v>14</v>
      </c>
      <c r="P26" s="10">
        <v>415</v>
      </c>
      <c r="Q26" s="10">
        <v>440</v>
      </c>
      <c r="R26" s="10">
        <v>13</v>
      </c>
      <c r="S26" s="10">
        <v>0</v>
      </c>
    </row>
    <row r="27" spans="1:19" s="93" customFormat="1" ht="14.25">
      <c r="A27" s="522"/>
      <c r="B27" s="493"/>
      <c r="C27" s="235" t="s">
        <v>704</v>
      </c>
      <c r="D27" s="24">
        <v>498</v>
      </c>
      <c r="E27" s="10">
        <v>470</v>
      </c>
      <c r="F27" s="10">
        <v>28</v>
      </c>
      <c r="G27" s="10">
        <v>43</v>
      </c>
      <c r="H27" s="10">
        <v>0</v>
      </c>
      <c r="I27" s="10">
        <v>8</v>
      </c>
      <c r="J27" s="10">
        <v>135</v>
      </c>
      <c r="K27" s="10">
        <v>134</v>
      </c>
      <c r="L27" s="10">
        <v>133</v>
      </c>
      <c r="M27" s="10">
        <v>68</v>
      </c>
      <c r="N27" s="10">
        <v>20</v>
      </c>
      <c r="O27" s="10">
        <v>0</v>
      </c>
      <c r="P27" s="10">
        <v>237</v>
      </c>
      <c r="Q27" s="10">
        <v>259</v>
      </c>
      <c r="R27" s="10">
        <v>2</v>
      </c>
      <c r="S27" s="10">
        <v>0</v>
      </c>
    </row>
    <row r="28" spans="1:19" s="93" customFormat="1" ht="14.25">
      <c r="A28" s="522"/>
      <c r="B28" s="491" t="s">
        <v>534</v>
      </c>
      <c r="C28" s="234" t="s">
        <v>702</v>
      </c>
      <c r="D28" s="54">
        <f>SUM(D29:D30)</f>
        <v>1331</v>
      </c>
      <c r="E28" s="55">
        <f aca="true" t="shared" si="9" ref="E28:S28">SUM(E29:E30)</f>
        <v>1209</v>
      </c>
      <c r="F28" s="55">
        <f t="shared" si="9"/>
        <v>122</v>
      </c>
      <c r="G28" s="55">
        <f>SUM(G29:G30)/2</f>
        <v>44.5</v>
      </c>
      <c r="H28" s="55">
        <f t="shared" si="9"/>
        <v>0</v>
      </c>
      <c r="I28" s="55">
        <f t="shared" si="9"/>
        <v>3</v>
      </c>
      <c r="J28" s="55">
        <f t="shared" si="9"/>
        <v>251</v>
      </c>
      <c r="K28" s="55">
        <f t="shared" si="9"/>
        <v>415</v>
      </c>
      <c r="L28" s="55">
        <f t="shared" si="9"/>
        <v>351</v>
      </c>
      <c r="M28" s="55">
        <f t="shared" si="9"/>
        <v>229</v>
      </c>
      <c r="N28" s="55">
        <f t="shared" si="9"/>
        <v>65</v>
      </c>
      <c r="O28" s="55">
        <f t="shared" si="9"/>
        <v>17</v>
      </c>
      <c r="P28" s="55">
        <f t="shared" si="9"/>
        <v>627</v>
      </c>
      <c r="Q28" s="55">
        <f t="shared" si="9"/>
        <v>696</v>
      </c>
      <c r="R28" s="55">
        <f t="shared" si="9"/>
        <v>8</v>
      </c>
      <c r="S28" s="55">
        <f t="shared" si="9"/>
        <v>0</v>
      </c>
    </row>
    <row r="29" spans="1:19" s="93" customFormat="1" ht="14.25">
      <c r="A29" s="522"/>
      <c r="B29" s="492"/>
      <c r="C29" s="124" t="s">
        <v>703</v>
      </c>
      <c r="D29" s="24">
        <v>804</v>
      </c>
      <c r="E29" s="10">
        <v>723</v>
      </c>
      <c r="F29" s="10">
        <v>81</v>
      </c>
      <c r="G29" s="10">
        <v>46</v>
      </c>
      <c r="H29" s="10">
        <v>0</v>
      </c>
      <c r="I29" s="10">
        <v>2</v>
      </c>
      <c r="J29" s="10">
        <v>78</v>
      </c>
      <c r="K29" s="10">
        <v>262</v>
      </c>
      <c r="L29" s="10">
        <v>230</v>
      </c>
      <c r="M29" s="10">
        <v>159</v>
      </c>
      <c r="N29" s="10">
        <v>59</v>
      </c>
      <c r="O29" s="10">
        <v>14</v>
      </c>
      <c r="P29" s="10">
        <v>399</v>
      </c>
      <c r="Q29" s="10">
        <v>397</v>
      </c>
      <c r="R29" s="10">
        <v>8</v>
      </c>
      <c r="S29" s="10">
        <v>0</v>
      </c>
    </row>
    <row r="30" spans="1:19" s="93" customFormat="1" ht="14.25">
      <c r="A30" s="522"/>
      <c r="B30" s="493"/>
      <c r="C30" s="235" t="s">
        <v>704</v>
      </c>
      <c r="D30" s="24">
        <v>527</v>
      </c>
      <c r="E30" s="10">
        <v>486</v>
      </c>
      <c r="F30" s="10">
        <v>41</v>
      </c>
      <c r="G30" s="10">
        <v>43</v>
      </c>
      <c r="H30" s="10">
        <v>0</v>
      </c>
      <c r="I30" s="10">
        <v>1</v>
      </c>
      <c r="J30" s="10">
        <v>173</v>
      </c>
      <c r="K30" s="10">
        <v>153</v>
      </c>
      <c r="L30" s="10">
        <v>121</v>
      </c>
      <c r="M30" s="10">
        <v>70</v>
      </c>
      <c r="N30" s="10">
        <v>6</v>
      </c>
      <c r="O30" s="10">
        <v>3</v>
      </c>
      <c r="P30" s="10">
        <v>228</v>
      </c>
      <c r="Q30" s="10">
        <v>299</v>
      </c>
      <c r="R30" s="10">
        <v>0</v>
      </c>
      <c r="S30" s="10">
        <v>0</v>
      </c>
    </row>
    <row r="31" spans="1:19" s="93" customFormat="1" ht="15.75" customHeight="1">
      <c r="A31" s="522"/>
      <c r="B31" s="491" t="s">
        <v>535</v>
      </c>
      <c r="C31" s="234" t="s">
        <v>702</v>
      </c>
      <c r="D31" s="54">
        <f>SUM(D32:D33)</f>
        <v>1408</v>
      </c>
      <c r="E31" s="55">
        <f aca="true" t="shared" si="10" ref="E31:S31">SUM(E32:E33)</f>
        <v>1279</v>
      </c>
      <c r="F31" s="55">
        <f t="shared" si="10"/>
        <v>129</v>
      </c>
      <c r="G31" s="55">
        <f>SUM(G32:G33)/2</f>
        <v>46</v>
      </c>
      <c r="H31" s="55">
        <f t="shared" si="10"/>
        <v>0</v>
      </c>
      <c r="I31" s="55">
        <f t="shared" si="10"/>
        <v>2</v>
      </c>
      <c r="J31" s="55">
        <f t="shared" si="10"/>
        <v>200</v>
      </c>
      <c r="K31" s="55">
        <f t="shared" si="10"/>
        <v>387</v>
      </c>
      <c r="L31" s="55">
        <f t="shared" si="10"/>
        <v>365</v>
      </c>
      <c r="M31" s="55">
        <f t="shared" si="10"/>
        <v>293</v>
      </c>
      <c r="N31" s="55">
        <f t="shared" si="10"/>
        <v>118</v>
      </c>
      <c r="O31" s="55">
        <f t="shared" si="10"/>
        <v>43</v>
      </c>
      <c r="P31" s="55">
        <f t="shared" si="10"/>
        <v>673</v>
      </c>
      <c r="Q31" s="55">
        <f t="shared" si="10"/>
        <v>725</v>
      </c>
      <c r="R31" s="55">
        <f t="shared" si="10"/>
        <v>10</v>
      </c>
      <c r="S31" s="55">
        <f t="shared" si="10"/>
        <v>0</v>
      </c>
    </row>
    <row r="32" spans="1:19" s="93" customFormat="1" ht="15.75" customHeight="1">
      <c r="A32" s="522"/>
      <c r="B32" s="492"/>
      <c r="C32" s="124" t="s">
        <v>703</v>
      </c>
      <c r="D32" s="24">
        <v>838</v>
      </c>
      <c r="E32" s="10">
        <v>746</v>
      </c>
      <c r="F32" s="10">
        <v>92</v>
      </c>
      <c r="G32" s="10">
        <v>47</v>
      </c>
      <c r="H32" s="10">
        <v>0</v>
      </c>
      <c r="I32" s="10">
        <v>0</v>
      </c>
      <c r="J32" s="10">
        <v>88</v>
      </c>
      <c r="K32" s="10">
        <v>226</v>
      </c>
      <c r="L32" s="10">
        <v>220</v>
      </c>
      <c r="M32" s="10">
        <v>181</v>
      </c>
      <c r="N32" s="10">
        <v>84</v>
      </c>
      <c r="O32" s="10">
        <v>39</v>
      </c>
      <c r="P32" s="10">
        <v>418</v>
      </c>
      <c r="Q32" s="10">
        <v>413</v>
      </c>
      <c r="R32" s="10">
        <v>7</v>
      </c>
      <c r="S32" s="10">
        <v>0</v>
      </c>
    </row>
    <row r="33" spans="1:19" s="93" customFormat="1" ht="15.75" customHeight="1">
      <c r="A33" s="522"/>
      <c r="B33" s="493"/>
      <c r="C33" s="235" t="s">
        <v>704</v>
      </c>
      <c r="D33" s="24">
        <v>570</v>
      </c>
      <c r="E33" s="10">
        <v>533</v>
      </c>
      <c r="F33" s="10">
        <v>37</v>
      </c>
      <c r="G33" s="10">
        <v>45</v>
      </c>
      <c r="H33" s="10">
        <v>0</v>
      </c>
      <c r="I33" s="10">
        <v>2</v>
      </c>
      <c r="J33" s="10">
        <v>112</v>
      </c>
      <c r="K33" s="10">
        <v>161</v>
      </c>
      <c r="L33" s="10">
        <v>145</v>
      </c>
      <c r="M33" s="10">
        <v>112</v>
      </c>
      <c r="N33" s="10">
        <v>34</v>
      </c>
      <c r="O33" s="10">
        <v>4</v>
      </c>
      <c r="P33" s="10">
        <v>255</v>
      </c>
      <c r="Q33" s="10">
        <v>312</v>
      </c>
      <c r="R33" s="10">
        <v>3</v>
      </c>
      <c r="S33" s="10">
        <v>0</v>
      </c>
    </row>
    <row r="34" spans="1:19" ht="15.75" customHeight="1">
      <c r="A34" s="522"/>
      <c r="B34" s="491" t="s">
        <v>536</v>
      </c>
      <c r="C34" s="234" t="s">
        <v>702</v>
      </c>
      <c r="D34" s="54">
        <f>SUM(D35:D36)</f>
        <v>1380</v>
      </c>
      <c r="E34" s="55">
        <f aca="true" t="shared" si="11" ref="E34:S34">SUM(E35:E36)</f>
        <v>1262</v>
      </c>
      <c r="F34" s="55">
        <f t="shared" si="11"/>
        <v>118</v>
      </c>
      <c r="G34" s="55">
        <f>SUM(G35:G36)/2</f>
        <v>45.5</v>
      </c>
      <c r="H34" s="55">
        <f t="shared" si="11"/>
        <v>0</v>
      </c>
      <c r="I34" s="55">
        <f t="shared" si="11"/>
        <v>3</v>
      </c>
      <c r="J34" s="55">
        <f t="shared" si="11"/>
        <v>186</v>
      </c>
      <c r="K34" s="55">
        <f t="shared" si="11"/>
        <v>416</v>
      </c>
      <c r="L34" s="55">
        <f t="shared" si="11"/>
        <v>352</v>
      </c>
      <c r="M34" s="55">
        <f t="shared" si="11"/>
        <v>257</v>
      </c>
      <c r="N34" s="55">
        <f t="shared" si="11"/>
        <v>136</v>
      </c>
      <c r="O34" s="55">
        <f t="shared" si="11"/>
        <v>30</v>
      </c>
      <c r="P34" s="55">
        <f t="shared" si="11"/>
        <v>702</v>
      </c>
      <c r="Q34" s="55">
        <f t="shared" si="11"/>
        <v>667</v>
      </c>
      <c r="R34" s="55">
        <f t="shared" si="11"/>
        <v>11</v>
      </c>
      <c r="S34" s="55">
        <f t="shared" si="11"/>
        <v>0</v>
      </c>
    </row>
    <row r="35" spans="1:19" ht="15.75" customHeight="1">
      <c r="A35" s="522"/>
      <c r="B35" s="492"/>
      <c r="C35" s="124" t="s">
        <v>703</v>
      </c>
      <c r="D35" s="64">
        <v>827</v>
      </c>
      <c r="E35" s="49">
        <v>745</v>
      </c>
      <c r="F35" s="59">
        <v>82</v>
      </c>
      <c r="G35" s="58">
        <v>47</v>
      </c>
      <c r="H35" s="58">
        <v>0</v>
      </c>
      <c r="I35" s="58">
        <v>1</v>
      </c>
      <c r="J35" s="58">
        <v>55</v>
      </c>
      <c r="K35" s="58">
        <v>229</v>
      </c>
      <c r="L35" s="58">
        <v>246</v>
      </c>
      <c r="M35" s="58">
        <v>165</v>
      </c>
      <c r="N35" s="58">
        <v>101</v>
      </c>
      <c r="O35" s="58">
        <v>30</v>
      </c>
      <c r="P35" s="59">
        <v>422</v>
      </c>
      <c r="Q35" s="59">
        <v>397</v>
      </c>
      <c r="R35" s="59">
        <v>8</v>
      </c>
      <c r="S35" s="59">
        <v>0</v>
      </c>
    </row>
    <row r="36" spans="1:19" ht="15.75" customHeight="1">
      <c r="A36" s="522"/>
      <c r="B36" s="493"/>
      <c r="C36" s="235" t="s">
        <v>704</v>
      </c>
      <c r="D36" s="64">
        <v>553</v>
      </c>
      <c r="E36" s="49">
        <v>517</v>
      </c>
      <c r="F36" s="59">
        <v>36</v>
      </c>
      <c r="G36" s="58">
        <v>44</v>
      </c>
      <c r="H36" s="58">
        <v>0</v>
      </c>
      <c r="I36" s="58">
        <v>2</v>
      </c>
      <c r="J36" s="58">
        <v>131</v>
      </c>
      <c r="K36" s="58">
        <v>187</v>
      </c>
      <c r="L36" s="58">
        <v>106</v>
      </c>
      <c r="M36" s="58">
        <v>92</v>
      </c>
      <c r="N36" s="58">
        <v>35</v>
      </c>
      <c r="O36" s="58">
        <v>0</v>
      </c>
      <c r="P36" s="59">
        <v>280</v>
      </c>
      <c r="Q36" s="59">
        <v>270</v>
      </c>
      <c r="R36" s="59">
        <v>3</v>
      </c>
      <c r="S36" s="59">
        <v>0</v>
      </c>
    </row>
    <row r="37" spans="1:19" ht="15.75" customHeight="1">
      <c r="A37" s="522"/>
      <c r="B37" s="492" t="s">
        <v>537</v>
      </c>
      <c r="C37" s="234" t="s">
        <v>702</v>
      </c>
      <c r="D37" s="54">
        <f>SUM(D38:D39)</f>
        <v>1513</v>
      </c>
      <c r="E37" s="55">
        <f aca="true" t="shared" si="12" ref="E37:S37">SUM(E38:E39)</f>
        <v>1352</v>
      </c>
      <c r="F37" s="55">
        <f t="shared" si="12"/>
        <v>161</v>
      </c>
      <c r="G37" s="55">
        <f>SUM(G38:G39)/2</f>
        <v>45</v>
      </c>
      <c r="H37" s="55">
        <f t="shared" si="12"/>
        <v>0</v>
      </c>
      <c r="I37" s="55">
        <f t="shared" si="12"/>
        <v>1</v>
      </c>
      <c r="J37" s="55">
        <f t="shared" si="12"/>
        <v>233</v>
      </c>
      <c r="K37" s="55">
        <f t="shared" si="12"/>
        <v>526</v>
      </c>
      <c r="L37" s="55">
        <f t="shared" si="12"/>
        <v>381</v>
      </c>
      <c r="M37" s="55">
        <f t="shared" si="12"/>
        <v>240</v>
      </c>
      <c r="N37" s="55">
        <f t="shared" si="12"/>
        <v>99</v>
      </c>
      <c r="O37" s="55">
        <f t="shared" si="12"/>
        <v>33</v>
      </c>
      <c r="P37" s="55">
        <f t="shared" si="12"/>
        <v>818</v>
      </c>
      <c r="Q37" s="55">
        <f t="shared" si="12"/>
        <v>685</v>
      </c>
      <c r="R37" s="55">
        <f t="shared" si="12"/>
        <v>10</v>
      </c>
      <c r="S37" s="55">
        <f t="shared" si="12"/>
        <v>0</v>
      </c>
    </row>
    <row r="38" spans="1:19" ht="15.75" customHeight="1">
      <c r="A38" s="522"/>
      <c r="B38" s="492"/>
      <c r="C38" s="124" t="s">
        <v>703</v>
      </c>
      <c r="D38" s="24">
        <v>833</v>
      </c>
      <c r="E38" s="10">
        <v>722</v>
      </c>
      <c r="F38" s="10">
        <v>111</v>
      </c>
      <c r="G38" s="10">
        <v>46</v>
      </c>
      <c r="H38" s="10">
        <v>0</v>
      </c>
      <c r="I38" s="10">
        <v>0</v>
      </c>
      <c r="J38" s="10">
        <v>72</v>
      </c>
      <c r="K38" s="10">
        <v>288</v>
      </c>
      <c r="L38" s="10">
        <v>228</v>
      </c>
      <c r="M38" s="10">
        <v>141</v>
      </c>
      <c r="N38" s="10">
        <v>76</v>
      </c>
      <c r="O38" s="10">
        <v>28</v>
      </c>
      <c r="P38" s="10">
        <v>488</v>
      </c>
      <c r="Q38" s="10">
        <v>336</v>
      </c>
      <c r="R38" s="10">
        <v>9</v>
      </c>
      <c r="S38" s="10">
        <v>0</v>
      </c>
    </row>
    <row r="39" spans="1:19" ht="15.75" customHeight="1">
      <c r="A39" s="522"/>
      <c r="B39" s="492"/>
      <c r="C39" s="235" t="s">
        <v>704</v>
      </c>
      <c r="D39" s="24">
        <v>680</v>
      </c>
      <c r="E39" s="10">
        <v>630</v>
      </c>
      <c r="F39" s="10">
        <v>50</v>
      </c>
      <c r="G39" s="10">
        <v>44</v>
      </c>
      <c r="H39" s="10">
        <v>0</v>
      </c>
      <c r="I39" s="10">
        <v>1</v>
      </c>
      <c r="J39" s="10">
        <v>161</v>
      </c>
      <c r="K39" s="10">
        <v>238</v>
      </c>
      <c r="L39" s="10">
        <v>153</v>
      </c>
      <c r="M39" s="10">
        <v>99</v>
      </c>
      <c r="N39" s="10">
        <v>23</v>
      </c>
      <c r="O39" s="10">
        <v>5</v>
      </c>
      <c r="P39" s="10">
        <v>330</v>
      </c>
      <c r="Q39" s="10">
        <v>349</v>
      </c>
      <c r="R39" s="10">
        <v>1</v>
      </c>
      <c r="S39" s="10">
        <v>0</v>
      </c>
    </row>
    <row r="40" spans="1:19" s="93" customFormat="1" ht="15.75" customHeight="1">
      <c r="A40" s="571" t="s">
        <v>452</v>
      </c>
      <c r="B40" s="536" t="s">
        <v>581</v>
      </c>
      <c r="C40" s="234" t="s">
        <v>702</v>
      </c>
      <c r="D40" s="140">
        <f>SUM(D43,'表33(續1)'!D7,'表33(續1)'!D10,'表33(續1)'!D13,'表33(續1)'!D16,'表33(續1)'!D19,'表33(續1)'!D22,'表33(續1)'!D25,'表33(續1)'!D28,'表33(續1)'!D31)</f>
        <v>17017</v>
      </c>
      <c r="E40" s="56">
        <f>SUM(E43,'表33(續1)'!E7,'表33(續1)'!E10,'表33(續1)'!E13,'表33(續1)'!E16,'表33(續1)'!E19,'表33(續1)'!E22,'表33(續1)'!E25,'表33(續1)'!E28,'表33(續1)'!E31)</f>
        <v>15453</v>
      </c>
      <c r="F40" s="56">
        <f>SUM(F43,'表33(續1)'!F7,'表33(續1)'!F10,'表33(續1)'!F13,'表33(續1)'!F16,'表33(續1)'!F19,'表33(續1)'!F22,'表33(續1)'!F25,'表33(續1)'!F28,'表33(續1)'!F31)</f>
        <v>1564</v>
      </c>
      <c r="G40" s="56">
        <v>44</v>
      </c>
      <c r="H40" s="56">
        <f>SUM(H43,'表33(續1)'!H7,'表33(續1)'!H10,'表33(續1)'!H13,'表33(續1)'!H16,'表33(續1)'!H19,'表33(續1)'!H22,'表33(續1)'!H25,'表33(續1)'!H28,'表33(續1)'!H31)</f>
        <v>1</v>
      </c>
      <c r="I40" s="56">
        <f>SUM(I43,'表33(續1)'!I7,'表33(續1)'!I10,'表33(續1)'!I13,'表33(續1)'!I16,'表33(續1)'!I19,'表33(續1)'!I22,'表33(續1)'!I25,'表33(續1)'!I28,'表33(續1)'!I31)</f>
        <v>370</v>
      </c>
      <c r="J40" s="56">
        <f>SUM(J43,'表33(續1)'!J7,'表33(續1)'!J10,'表33(續1)'!J13,'表33(續1)'!J16,'表33(續1)'!J19,'表33(續1)'!J22,'表33(續1)'!J25,'表33(續1)'!J28,'表33(續1)'!J31)</f>
        <v>2634</v>
      </c>
      <c r="K40" s="56">
        <f>SUM(K43,'表33(續1)'!K7,'表33(續1)'!K10,'表33(續1)'!K13,'表33(續1)'!K16,'表33(續1)'!K19,'表33(續1)'!K22,'表33(續1)'!K25,'表33(續1)'!K28,'表33(續1)'!K31)</f>
        <v>5273</v>
      </c>
      <c r="L40" s="56">
        <f>SUM(L43,'表33(續1)'!L7,'表33(續1)'!L10,'表33(續1)'!L13,'表33(續1)'!L16,'表33(續1)'!L19,'表33(續1)'!L22,'表33(續1)'!L25,'表33(續1)'!L28,'表33(續1)'!L31)</f>
        <v>5028</v>
      </c>
      <c r="M40" s="56">
        <f>SUM(M43,'表33(續1)'!M7,'表33(續1)'!M10,'表33(續1)'!M13,'表33(續1)'!M16,'表33(續1)'!M19,'表33(續1)'!M22,'表33(續1)'!M25,'表33(續1)'!M28,'表33(續1)'!M31)</f>
        <v>2700</v>
      </c>
      <c r="N40" s="56">
        <f>SUM(N43,'表33(續1)'!N7,'表33(續1)'!N10,'表33(續1)'!N13,'表33(續1)'!N16,'表33(續1)'!N19,'表33(續1)'!N22,'表33(續1)'!N25,'表33(續1)'!N28,'表33(續1)'!N31)</f>
        <v>823</v>
      </c>
      <c r="O40" s="56">
        <f>SUM(O43,'表33(續1)'!O7,'表33(續1)'!O10,'表33(續1)'!O13,'表33(續1)'!O16,'表33(續1)'!O19,'表33(續1)'!O22,'表33(續1)'!O25,'表33(續1)'!O28,'表33(續1)'!O31)</f>
        <v>188</v>
      </c>
      <c r="P40" s="56">
        <f>SUM(P43,'表33(續1)'!P7,'表33(續1)'!P10,'表33(續1)'!P13,'表33(續1)'!P16,'表33(續1)'!P19,'表33(續1)'!P22,'表33(續1)'!P25,'表33(續1)'!P28,'表33(續1)'!P31)</f>
        <v>336</v>
      </c>
      <c r="Q40" s="56">
        <f>SUM(Q43,'表33(續1)'!Q7,'表33(續1)'!Q10,'表33(續1)'!Q13,'表33(續1)'!Q16,'表33(續1)'!Q19,'表33(續1)'!Q22,'表33(續1)'!Q25,'表33(續1)'!Q28,'表33(續1)'!Q31)</f>
        <v>10505</v>
      </c>
      <c r="R40" s="56">
        <f>SUM(R43,'表33(續1)'!R7,'表33(續1)'!R10,'表33(續1)'!R13,'表33(續1)'!R16,'表33(續1)'!R19,'表33(續1)'!R22,'表33(續1)'!R25,'表33(續1)'!R28,'表33(續1)'!R31)</f>
        <v>2591</v>
      </c>
      <c r="S40" s="56">
        <f>SUM(S43,'表33(續1)'!S7,'表33(續1)'!S10,'表33(續1)'!S13,'表33(續1)'!S16,'表33(續1)'!S19,'表33(續1)'!S22,'表33(續1)'!S25,'表33(續1)'!S28,'表33(續1)'!S31)</f>
        <v>10</v>
      </c>
    </row>
    <row r="41" spans="1:19" s="93" customFormat="1" ht="15.75" customHeight="1">
      <c r="A41" s="572"/>
      <c r="B41" s="492"/>
      <c r="C41" s="124" t="s">
        <v>703</v>
      </c>
      <c r="D41" s="64">
        <f>SUM(D44,'表33(續1)'!D8,'表33(續1)'!D11,'表33(續1)'!D14,'表33(續1)'!D17,'表33(續1)'!D20,'表33(續1)'!D23,'表33(續1)'!D26,'表33(續1)'!D29,'表33(續1)'!D32)</f>
        <v>7153</v>
      </c>
      <c r="E41" s="49">
        <f>SUM(E44,'表33(續1)'!E8,'表33(續1)'!E11,'表33(續1)'!E14,'表33(續1)'!E17,'表33(續1)'!E20,'表33(續1)'!E23,'表33(續1)'!E26,'表33(續1)'!E29,'表33(續1)'!E32)</f>
        <v>6189</v>
      </c>
      <c r="F41" s="49">
        <f>SUM(F44,'表33(續1)'!F8,'表33(續1)'!F11,'表33(續1)'!F14,'表33(續1)'!F17,'表33(續1)'!F20,'表33(續1)'!F23,'表33(續1)'!F26,'表33(續1)'!F29,'表33(續1)'!F32)</f>
        <v>964</v>
      </c>
      <c r="G41" s="49">
        <v>45</v>
      </c>
      <c r="H41" s="49">
        <f>SUM(H44,'表33(續1)'!H8,'表33(續1)'!H11,'表33(續1)'!H14,'表33(續1)'!H17,'表33(續1)'!H20,'表33(續1)'!H23,'表33(續1)'!H26,'表33(續1)'!H29,'表33(續1)'!H32)</f>
        <v>0</v>
      </c>
      <c r="I41" s="49">
        <f>SUM(I44,'表33(續1)'!I8,'表33(續1)'!I11,'表33(續1)'!I14,'表33(續1)'!I17,'表33(續1)'!I20,'表33(續1)'!I23,'表33(續1)'!I26,'表33(續1)'!I29,'表33(續1)'!I32)</f>
        <v>97</v>
      </c>
      <c r="J41" s="49">
        <f>SUM(J44,'表33(續1)'!J8,'表33(續1)'!J11,'表33(續1)'!J14,'表33(續1)'!J17,'表33(續1)'!J20,'表33(續1)'!J23,'表33(續1)'!J26,'表33(續1)'!J29,'表33(續1)'!J32)</f>
        <v>940</v>
      </c>
      <c r="K41" s="49">
        <f>SUM(K44,'表33(續1)'!K8,'表33(續1)'!K11,'表33(續1)'!K14,'表33(續1)'!K17,'表33(續1)'!K20,'表33(續1)'!K23,'表33(續1)'!K26,'表33(續1)'!K29,'表33(續1)'!K32)</f>
        <v>2270</v>
      </c>
      <c r="L41" s="49">
        <f>SUM(L44,'表33(續1)'!L8,'表33(續1)'!L11,'表33(續1)'!L14,'表33(續1)'!L17,'表33(續1)'!L20,'表33(續1)'!L23,'表33(續1)'!L26,'表33(續1)'!L29,'表33(續1)'!L32)</f>
        <v>2079</v>
      </c>
      <c r="M41" s="49">
        <f>SUM(M44,'表33(續1)'!M8,'表33(續1)'!M11,'表33(續1)'!M14,'表33(續1)'!M17,'表33(續1)'!M20,'表33(續1)'!M23,'表33(續1)'!M26,'表33(續1)'!M29,'表33(續1)'!M32)</f>
        <v>1286</v>
      </c>
      <c r="N41" s="49">
        <f>SUM(N44,'表33(續1)'!N8,'表33(續1)'!N11,'表33(續1)'!N14,'表33(續1)'!N17,'表33(續1)'!N20,'表33(續1)'!N23,'表33(續1)'!N26,'表33(續1)'!N29,'表33(續1)'!N32)</f>
        <v>382</v>
      </c>
      <c r="O41" s="49">
        <f>SUM(O44,'表33(續1)'!O8,'表33(續1)'!O11,'表33(續1)'!O14,'表33(續1)'!O17,'表33(續1)'!O20,'表33(續1)'!O23,'表33(續1)'!O26,'表33(續1)'!O29,'表33(續1)'!O32)</f>
        <v>99</v>
      </c>
      <c r="P41" s="49">
        <f>SUM(P44,'表33(續1)'!P8,'表33(續1)'!P11,'表33(續1)'!P14,'表33(續1)'!P17,'表33(續1)'!P20,'表33(續1)'!P23,'表33(續1)'!P26,'表33(續1)'!P29,'表33(續1)'!P32)</f>
        <v>154</v>
      </c>
      <c r="Q41" s="49">
        <f>SUM(Q44,'表33(續1)'!Q8,'表33(續1)'!Q11,'表33(續1)'!Q14,'表33(續1)'!Q17,'表33(續1)'!Q20,'表33(續1)'!Q23,'表33(續1)'!Q26,'表33(續1)'!Q29,'表33(續1)'!Q32)</f>
        <v>3850</v>
      </c>
      <c r="R41" s="49">
        <f>SUM(R44,'表33(續1)'!R8,'表33(續1)'!R11,'表33(續1)'!R14,'表33(續1)'!R17,'表33(續1)'!R20,'表33(續1)'!R23,'表33(續1)'!R26,'表33(續1)'!R29,'表33(續1)'!R32)</f>
        <v>1506</v>
      </c>
      <c r="S41" s="49">
        <f>SUM(S44,'表33(續1)'!S8,'表33(續1)'!S11,'表33(續1)'!S14,'表33(續1)'!S17,'表33(續1)'!S20,'表33(續1)'!S23,'表33(續1)'!S26,'表33(續1)'!S29,'表33(續1)'!S32)</f>
        <v>6</v>
      </c>
    </row>
    <row r="42" spans="1:19" s="93" customFormat="1" ht="15.75" customHeight="1">
      <c r="A42" s="572"/>
      <c r="B42" s="492"/>
      <c r="C42" s="235" t="s">
        <v>704</v>
      </c>
      <c r="D42" s="64">
        <f>SUM(D45,'表33(續1)'!D9,'表33(續1)'!D12,'表33(續1)'!D15,'表33(續1)'!D18,'表33(續1)'!D21,'表33(續1)'!D24,'表33(續1)'!D27,'表33(續1)'!D30,'表33(續1)'!D33)</f>
        <v>9864</v>
      </c>
      <c r="E42" s="49">
        <f>SUM(E45,'表33(續1)'!E9,'表33(續1)'!E12,'表33(續1)'!E15,'表33(續1)'!E18,'表33(續1)'!E21,'表33(續1)'!E24,'表33(續1)'!E27,'表33(續1)'!E30,'表33(續1)'!E33)</f>
        <v>9264</v>
      </c>
      <c r="F42" s="49">
        <f>SUM(F45,'表33(續1)'!F9,'表33(續1)'!F12,'表33(續1)'!F15,'表33(續1)'!F18,'表33(續1)'!F21,'表33(續1)'!F24,'表33(續1)'!F27,'表33(續1)'!F30,'表33(續1)'!F33)</f>
        <v>600</v>
      </c>
      <c r="G42" s="49">
        <v>44</v>
      </c>
      <c r="H42" s="49">
        <f>SUM(H45,'表33(續1)'!H9,'表33(續1)'!H12,'表33(續1)'!H15,'表33(續1)'!H18,'表33(續1)'!H21,'表33(續1)'!H24,'表33(續1)'!H27,'表33(續1)'!H30,'表33(續1)'!H33)</f>
        <v>1</v>
      </c>
      <c r="I42" s="49">
        <f>SUM(I45,'表33(續1)'!I9,'表33(續1)'!I12,'表33(續1)'!I15,'表33(續1)'!I18,'表33(續1)'!I21,'表33(續1)'!I24,'表33(續1)'!I27,'表33(續1)'!I30,'表33(續1)'!I33)</f>
        <v>273</v>
      </c>
      <c r="J42" s="49">
        <f>SUM(J45,'表33(續1)'!J9,'表33(續1)'!J12,'表33(續1)'!J15,'表33(續1)'!J18,'表33(續1)'!J21,'表33(續1)'!J24,'表33(續1)'!J27,'表33(續1)'!J30,'表33(續1)'!J33)</f>
        <v>1694</v>
      </c>
      <c r="K42" s="49">
        <f>SUM(K45,'表33(續1)'!K9,'表33(續1)'!K12,'表33(續1)'!K15,'表33(續1)'!K18,'表33(續1)'!K21,'表33(續1)'!K24,'表33(續1)'!K27,'表33(續1)'!K30,'表33(續1)'!K33)</f>
        <v>3003</v>
      </c>
      <c r="L42" s="49">
        <f>SUM(L45,'表33(續1)'!L9,'表33(續1)'!L12,'表33(續1)'!L15,'表33(續1)'!L18,'表33(續1)'!L21,'表33(續1)'!L24,'表33(續1)'!L27,'表33(續1)'!L30,'表33(續1)'!L33)</f>
        <v>2949</v>
      </c>
      <c r="M42" s="49">
        <f>SUM(M45,'表33(續1)'!M9,'表33(續1)'!M12,'表33(續1)'!M15,'表33(續1)'!M18,'表33(續1)'!M21,'表33(續1)'!M24,'表33(續1)'!M27,'表33(續1)'!M30,'表33(續1)'!M33)</f>
        <v>1414</v>
      </c>
      <c r="N42" s="49">
        <f>SUM(N45,'表33(續1)'!N9,'表33(續1)'!N12,'表33(續1)'!N15,'表33(續1)'!N18,'表33(續1)'!N21,'表33(續1)'!N24,'表33(續1)'!N27,'表33(續1)'!N30,'表33(續1)'!N33)</f>
        <v>441</v>
      </c>
      <c r="O42" s="49">
        <f>SUM(O45,'表33(續1)'!O9,'表33(續1)'!O12,'表33(續1)'!O15,'表33(續1)'!O18,'表33(續1)'!O21,'表33(續1)'!O24,'表33(續1)'!O27,'表33(續1)'!O30,'表33(續1)'!O33)</f>
        <v>89</v>
      </c>
      <c r="P42" s="49">
        <f>SUM(P45,'表33(續1)'!P9,'表33(續1)'!P12,'表33(續1)'!P15,'表33(續1)'!P18,'表33(續1)'!P21,'表33(續1)'!P24,'表33(續1)'!P27,'表33(續1)'!P30,'表33(續1)'!P33)</f>
        <v>182</v>
      </c>
      <c r="Q42" s="49">
        <f>SUM(Q45,'表33(續1)'!Q9,'表33(續1)'!Q12,'表33(續1)'!Q15,'表33(續1)'!Q18,'表33(續1)'!Q21,'表33(續1)'!Q24,'表33(續1)'!Q27,'表33(續1)'!Q30,'表33(續1)'!Q33)</f>
        <v>6655</v>
      </c>
      <c r="R42" s="49">
        <f>SUM(R45,'表33(續1)'!R9,'表33(續1)'!R12,'表33(續1)'!R15,'表33(續1)'!R18,'表33(續1)'!R21,'表33(續1)'!R24,'表33(續1)'!R27,'表33(續1)'!R30,'表33(續1)'!R33)</f>
        <v>1085</v>
      </c>
      <c r="S42" s="49">
        <f>SUM(S45,'表33(續1)'!S9,'表33(續1)'!S12,'表33(續1)'!S15,'表33(續1)'!S18,'表33(續1)'!S21,'表33(續1)'!S24,'表33(續1)'!S27,'表33(續1)'!S30,'表33(續1)'!S33)</f>
        <v>4</v>
      </c>
    </row>
    <row r="43" spans="1:19" s="93" customFormat="1" ht="15.75" customHeight="1">
      <c r="A43" s="522" t="s">
        <v>453</v>
      </c>
      <c r="B43" s="507" t="s">
        <v>519</v>
      </c>
      <c r="C43" s="234" t="s">
        <v>702</v>
      </c>
      <c r="D43" s="54">
        <v>1748</v>
      </c>
      <c r="E43" s="55">
        <v>1714</v>
      </c>
      <c r="F43" s="55">
        <v>34</v>
      </c>
      <c r="G43" s="55">
        <v>44</v>
      </c>
      <c r="H43" s="55">
        <v>0</v>
      </c>
      <c r="I43" s="55">
        <v>55</v>
      </c>
      <c r="J43" s="55">
        <v>282</v>
      </c>
      <c r="K43" s="55">
        <v>636</v>
      </c>
      <c r="L43" s="55">
        <v>464</v>
      </c>
      <c r="M43" s="55">
        <v>218</v>
      </c>
      <c r="N43" s="55">
        <v>71</v>
      </c>
      <c r="O43" s="55">
        <v>22</v>
      </c>
      <c r="P43" s="55">
        <v>0</v>
      </c>
      <c r="Q43" s="55">
        <v>0</v>
      </c>
      <c r="R43" s="55">
        <v>0</v>
      </c>
      <c r="S43" s="55">
        <v>0</v>
      </c>
    </row>
    <row r="44" spans="1:19" s="93" customFormat="1" ht="15.75" customHeight="1">
      <c r="A44" s="523"/>
      <c r="B44" s="516"/>
      <c r="C44" s="124" t="s">
        <v>703</v>
      </c>
      <c r="D44" s="64">
        <v>833</v>
      </c>
      <c r="E44" s="49">
        <v>812</v>
      </c>
      <c r="F44" s="58">
        <v>21</v>
      </c>
      <c r="G44" s="49">
        <v>44</v>
      </c>
      <c r="H44" s="49">
        <v>0</v>
      </c>
      <c r="I44" s="49">
        <v>14</v>
      </c>
      <c r="J44" s="59">
        <v>143</v>
      </c>
      <c r="K44" s="58">
        <v>319</v>
      </c>
      <c r="L44" s="58">
        <v>186</v>
      </c>
      <c r="M44" s="58">
        <v>120</v>
      </c>
      <c r="N44" s="58">
        <v>40</v>
      </c>
      <c r="O44" s="58">
        <v>11</v>
      </c>
      <c r="P44" s="58">
        <v>0</v>
      </c>
      <c r="Q44" s="58">
        <v>0</v>
      </c>
      <c r="R44" s="58">
        <v>0</v>
      </c>
      <c r="S44" s="58">
        <v>0</v>
      </c>
    </row>
    <row r="45" spans="1:19" s="93" customFormat="1" ht="15.75" customHeight="1">
      <c r="A45" s="522"/>
      <c r="B45" s="517"/>
      <c r="C45" s="143" t="s">
        <v>704</v>
      </c>
      <c r="D45" s="64">
        <v>915</v>
      </c>
      <c r="E45" s="49">
        <v>902</v>
      </c>
      <c r="F45" s="58">
        <v>13</v>
      </c>
      <c r="G45" s="49">
        <v>44</v>
      </c>
      <c r="H45" s="49">
        <v>0</v>
      </c>
      <c r="I45" s="49">
        <v>41</v>
      </c>
      <c r="J45" s="59">
        <v>139</v>
      </c>
      <c r="K45" s="58">
        <v>317</v>
      </c>
      <c r="L45" s="58">
        <v>278</v>
      </c>
      <c r="M45" s="58">
        <v>98</v>
      </c>
      <c r="N45" s="58">
        <v>31</v>
      </c>
      <c r="O45" s="58">
        <v>11</v>
      </c>
      <c r="P45" s="58">
        <v>0</v>
      </c>
      <c r="Q45" s="58">
        <v>0</v>
      </c>
      <c r="R45" s="58">
        <v>0</v>
      </c>
      <c r="S45" s="58">
        <v>0</v>
      </c>
    </row>
    <row r="46" spans="1:20" ht="21.75" customHeight="1">
      <c r="A46" s="529" t="s">
        <v>17</v>
      </c>
      <c r="B46" s="529"/>
      <c r="C46" s="529"/>
      <c r="D46" s="529"/>
      <c r="E46" s="529"/>
      <c r="F46" s="529"/>
      <c r="G46" s="529"/>
      <c r="H46" s="529"/>
      <c r="I46" s="529"/>
      <c r="J46" s="127"/>
      <c r="K46" s="457" t="s">
        <v>16</v>
      </c>
      <c r="L46" s="457"/>
      <c r="M46" s="457"/>
      <c r="N46" s="457"/>
      <c r="O46" s="457"/>
      <c r="P46" s="457"/>
      <c r="Q46" s="457"/>
      <c r="R46" s="457"/>
      <c r="S46" s="457"/>
      <c r="T46" s="26"/>
    </row>
    <row r="47" ht="16.5" customHeight="1"/>
    <row r="51" spans="1:19" ht="15.75">
      <c r="A51" s="573" t="str">
        <f>"- "&amp;Sheet1!B34&amp;" -"</f>
        <v>- 222 -</v>
      </c>
      <c r="B51" s="573"/>
      <c r="C51" s="573"/>
      <c r="D51" s="573"/>
      <c r="E51" s="573"/>
      <c r="F51" s="573"/>
      <c r="G51" s="573"/>
      <c r="H51" s="573"/>
      <c r="I51" s="573"/>
      <c r="J51" s="573" t="str">
        <f>"- "&amp;Sheet1!C34&amp;" -"</f>
        <v>- 223 -</v>
      </c>
      <c r="K51" s="573"/>
      <c r="L51" s="573"/>
      <c r="M51" s="573"/>
      <c r="N51" s="573"/>
      <c r="O51" s="573"/>
      <c r="P51" s="573"/>
      <c r="Q51" s="573"/>
      <c r="R51" s="573"/>
      <c r="S51" s="573"/>
    </row>
  </sheetData>
  <sheetProtection/>
  <mergeCells count="33">
    <mergeCell ref="A1:I1"/>
    <mergeCell ref="B37:B39"/>
    <mergeCell ref="J1:S1"/>
    <mergeCell ref="D5:D6"/>
    <mergeCell ref="E5:E6"/>
    <mergeCell ref="B34:B36"/>
    <mergeCell ref="B25:B27"/>
    <mergeCell ref="B28:B30"/>
    <mergeCell ref="A25:A39"/>
    <mergeCell ref="K5:O5"/>
    <mergeCell ref="H5:J5"/>
    <mergeCell ref="L3:R3"/>
    <mergeCell ref="A5:C6"/>
    <mergeCell ref="C3:H3"/>
    <mergeCell ref="P5:S5"/>
    <mergeCell ref="F5:F6"/>
    <mergeCell ref="G5:G6"/>
    <mergeCell ref="J51:S51"/>
    <mergeCell ref="B43:B45"/>
    <mergeCell ref="A51:I51"/>
    <mergeCell ref="K46:S46"/>
    <mergeCell ref="A46:I46"/>
    <mergeCell ref="A43:A45"/>
    <mergeCell ref="B31:B33"/>
    <mergeCell ref="A40:A42"/>
    <mergeCell ref="B19:B21"/>
    <mergeCell ref="B22:B24"/>
    <mergeCell ref="B40:B42"/>
    <mergeCell ref="B16:B18"/>
    <mergeCell ref="A7:B9"/>
    <mergeCell ref="B10:B12"/>
    <mergeCell ref="B13:B15"/>
    <mergeCell ref="A10:A24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R54"/>
  <sheetViews>
    <sheetView view="pageLayout" zoomScaleSheetLayoutView="85" workbookViewId="0" topLeftCell="H4">
      <selection activeCell="P5" sqref="P5:S5"/>
    </sheetView>
  </sheetViews>
  <sheetFormatPr defaultColWidth="9.00390625" defaultRowHeight="16.5"/>
  <cols>
    <col min="1" max="1" width="6.25390625" style="85" customWidth="1"/>
    <col min="2" max="2" width="10.00390625" style="85" customWidth="1"/>
    <col min="3" max="3" width="8.625" style="85" customWidth="1"/>
    <col min="4" max="4" width="10.875" style="85" customWidth="1"/>
    <col min="5" max="5" width="10.25390625" style="85" customWidth="1"/>
    <col min="6" max="6" width="11.625" style="85" customWidth="1"/>
    <col min="7" max="7" width="8.625" style="85" customWidth="1"/>
    <col min="8" max="8" width="8.875" style="85" customWidth="1"/>
    <col min="9" max="9" width="8.375" style="85" customWidth="1"/>
    <col min="10" max="10" width="9.00390625" style="85" customWidth="1"/>
    <col min="11" max="14" width="8.75390625" style="85" customWidth="1"/>
    <col min="15" max="15" width="8.875" style="85" customWidth="1"/>
    <col min="16" max="16" width="9.00390625" style="85" customWidth="1"/>
    <col min="17" max="17" width="9.625" style="85" customWidth="1"/>
    <col min="18" max="18" width="8.875" style="85" customWidth="1"/>
    <col min="19" max="19" width="9.50390625" style="85" customWidth="1"/>
    <col min="20" max="20" width="9.625" style="85" bestFit="1" customWidth="1"/>
    <col min="21" max="16384" width="9.00390625" style="85" customWidth="1"/>
  </cols>
  <sheetData>
    <row r="1" spans="1:19" s="98" customFormat="1" ht="21.75" customHeight="1">
      <c r="A1" s="539" t="s">
        <v>586</v>
      </c>
      <c r="B1" s="505"/>
      <c r="C1" s="505"/>
      <c r="D1" s="505"/>
      <c r="E1" s="505"/>
      <c r="F1" s="505"/>
      <c r="G1" s="505"/>
      <c r="H1" s="505"/>
      <c r="I1" s="505"/>
      <c r="J1" s="505" t="s">
        <v>224</v>
      </c>
      <c r="K1" s="505"/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53"/>
      <c r="M2" s="2"/>
      <c r="N2" s="2"/>
      <c r="O2" s="2"/>
      <c r="P2" s="2"/>
      <c r="Q2" s="2"/>
      <c r="R2" s="2"/>
      <c r="S2" s="2"/>
    </row>
    <row r="3" spans="1:19" s="97" customFormat="1" ht="15" customHeight="1">
      <c r="A3" s="16"/>
      <c r="B3" s="16"/>
      <c r="C3" s="460" t="s">
        <v>831</v>
      </c>
      <c r="D3" s="461"/>
      <c r="E3" s="461"/>
      <c r="F3" s="461"/>
      <c r="G3" s="461"/>
      <c r="H3" s="461"/>
      <c r="I3" s="4" t="s">
        <v>712</v>
      </c>
      <c r="K3" s="5"/>
      <c r="L3" s="461" t="s">
        <v>832</v>
      </c>
      <c r="M3" s="461"/>
      <c r="N3" s="461"/>
      <c r="O3" s="461"/>
      <c r="P3" s="461"/>
      <c r="Q3" s="461"/>
      <c r="R3" s="461"/>
      <c r="S3" s="107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31.5" customHeight="1">
      <c r="A5" s="576"/>
      <c r="B5" s="576"/>
      <c r="C5" s="577"/>
      <c r="D5" s="507" t="s">
        <v>908</v>
      </c>
      <c r="E5" s="507" t="s">
        <v>909</v>
      </c>
      <c r="F5" s="507" t="s">
        <v>930</v>
      </c>
      <c r="G5" s="507" t="s">
        <v>716</v>
      </c>
      <c r="H5" s="495" t="s">
        <v>931</v>
      </c>
      <c r="I5" s="496"/>
      <c r="J5" s="496"/>
      <c r="K5" s="574" t="s">
        <v>696</v>
      </c>
      <c r="L5" s="574"/>
      <c r="M5" s="574"/>
      <c r="N5" s="574"/>
      <c r="O5" s="575"/>
      <c r="P5" s="495" t="s">
        <v>764</v>
      </c>
      <c r="Q5" s="496"/>
      <c r="R5" s="496"/>
      <c r="S5" s="496"/>
    </row>
    <row r="6" spans="1:19" s="42" customFormat="1" ht="61.5" customHeight="1">
      <c r="A6" s="578"/>
      <c r="B6" s="578"/>
      <c r="C6" s="579"/>
      <c r="D6" s="512"/>
      <c r="E6" s="512"/>
      <c r="F6" s="513"/>
      <c r="G6" s="508"/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929</v>
      </c>
      <c r="S6" s="120" t="s">
        <v>711</v>
      </c>
    </row>
    <row r="7" spans="1:44" s="93" customFormat="1" ht="13.5" customHeight="1">
      <c r="A7" s="541" t="s">
        <v>452</v>
      </c>
      <c r="B7" s="507" t="s">
        <v>520</v>
      </c>
      <c r="C7" s="234" t="s">
        <v>702</v>
      </c>
      <c r="D7" s="54">
        <f>SUM(D8:D9)</f>
        <v>1827</v>
      </c>
      <c r="E7" s="56">
        <f>SUM(E8:E9)</f>
        <v>1792</v>
      </c>
      <c r="F7" s="55">
        <f>SUM(F8:F9)</f>
        <v>35</v>
      </c>
      <c r="G7" s="55">
        <v>43</v>
      </c>
      <c r="H7" s="55">
        <f>SUM(H8:H9)</f>
        <v>0</v>
      </c>
      <c r="I7" s="55">
        <f aca="true" t="shared" si="0" ref="I7:S7">SUM(I8:I9)</f>
        <v>60</v>
      </c>
      <c r="J7" s="55">
        <f t="shared" si="0"/>
        <v>340</v>
      </c>
      <c r="K7" s="55">
        <f t="shared" si="0"/>
        <v>622</v>
      </c>
      <c r="L7" s="55">
        <f t="shared" si="0"/>
        <v>456</v>
      </c>
      <c r="M7" s="55">
        <f t="shared" si="0"/>
        <v>272</v>
      </c>
      <c r="N7" s="55">
        <f t="shared" si="0"/>
        <v>60</v>
      </c>
      <c r="O7" s="55">
        <f t="shared" si="0"/>
        <v>17</v>
      </c>
      <c r="P7" s="55">
        <f t="shared" si="0"/>
        <v>0</v>
      </c>
      <c r="Q7" s="55">
        <f t="shared" si="0"/>
        <v>0</v>
      </c>
      <c r="R7" s="55">
        <f t="shared" si="0"/>
        <v>0</v>
      </c>
      <c r="S7" s="55">
        <f t="shared" si="0"/>
        <v>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542"/>
      <c r="B8" s="516"/>
      <c r="C8" s="124" t="s">
        <v>703</v>
      </c>
      <c r="D8" s="64">
        <v>804</v>
      </c>
      <c r="E8" s="49">
        <v>780</v>
      </c>
      <c r="F8" s="58">
        <v>24</v>
      </c>
      <c r="G8" s="49">
        <v>44</v>
      </c>
      <c r="H8" s="49">
        <v>0</v>
      </c>
      <c r="I8" s="49">
        <v>11</v>
      </c>
      <c r="J8" s="59">
        <v>137</v>
      </c>
      <c r="K8" s="58">
        <v>282</v>
      </c>
      <c r="L8" s="58">
        <v>182</v>
      </c>
      <c r="M8" s="58">
        <v>145</v>
      </c>
      <c r="N8" s="58">
        <v>35</v>
      </c>
      <c r="O8" s="58">
        <v>12</v>
      </c>
      <c r="P8" s="58">
        <v>0</v>
      </c>
      <c r="Q8" s="58">
        <v>0</v>
      </c>
      <c r="R8" s="58">
        <v>0</v>
      </c>
      <c r="S8" s="58">
        <v>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542"/>
      <c r="B9" s="517"/>
      <c r="C9" s="235" t="s">
        <v>704</v>
      </c>
      <c r="D9" s="64">
        <v>1023</v>
      </c>
      <c r="E9" s="49">
        <v>1012</v>
      </c>
      <c r="F9" s="58">
        <v>11</v>
      </c>
      <c r="G9" s="49">
        <v>43</v>
      </c>
      <c r="H9" s="49">
        <v>0</v>
      </c>
      <c r="I9" s="49">
        <v>49</v>
      </c>
      <c r="J9" s="59">
        <v>203</v>
      </c>
      <c r="K9" s="58">
        <v>340</v>
      </c>
      <c r="L9" s="58">
        <v>274</v>
      </c>
      <c r="M9" s="58">
        <v>127</v>
      </c>
      <c r="N9" s="58">
        <v>25</v>
      </c>
      <c r="O9" s="58">
        <v>5</v>
      </c>
      <c r="P9" s="58">
        <v>0</v>
      </c>
      <c r="Q9" s="58">
        <v>0</v>
      </c>
      <c r="R9" s="58">
        <v>0</v>
      </c>
      <c r="S9" s="58">
        <v>0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542"/>
      <c r="B10" s="507" t="s">
        <v>521</v>
      </c>
      <c r="C10" s="234" t="s">
        <v>702</v>
      </c>
      <c r="D10" s="54">
        <f>SUM(D11:D12)</f>
        <v>1599</v>
      </c>
      <c r="E10" s="55">
        <f>SUM(E11:E12)</f>
        <v>1498</v>
      </c>
      <c r="F10" s="55">
        <f>SUM(F11:F12)</f>
        <v>101</v>
      </c>
      <c r="G10" s="55">
        <v>43</v>
      </c>
      <c r="H10" s="55">
        <f>SUM(H11:H12)</f>
        <v>0</v>
      </c>
      <c r="I10" s="55">
        <f aca="true" t="shared" si="1" ref="I10:S10">SUM(I11:I12)</f>
        <v>63</v>
      </c>
      <c r="J10" s="55">
        <f t="shared" si="1"/>
        <v>272</v>
      </c>
      <c r="K10" s="55">
        <f t="shared" si="1"/>
        <v>537</v>
      </c>
      <c r="L10" s="55">
        <f t="shared" si="1"/>
        <v>457</v>
      </c>
      <c r="M10" s="55">
        <f t="shared" si="1"/>
        <v>202</v>
      </c>
      <c r="N10" s="55">
        <f t="shared" si="1"/>
        <v>41</v>
      </c>
      <c r="O10" s="55">
        <f t="shared" si="1"/>
        <v>27</v>
      </c>
      <c r="P10" s="55">
        <f t="shared" si="1"/>
        <v>21</v>
      </c>
      <c r="Q10" s="55">
        <f t="shared" si="1"/>
        <v>1185</v>
      </c>
      <c r="R10" s="55">
        <f t="shared" si="1"/>
        <v>391</v>
      </c>
      <c r="S10" s="55">
        <f t="shared" si="1"/>
        <v>2</v>
      </c>
    </row>
    <row r="11" spans="1:19" s="93" customFormat="1" ht="13.5" customHeight="1">
      <c r="A11" s="542"/>
      <c r="B11" s="516"/>
      <c r="C11" s="124" t="s">
        <v>703</v>
      </c>
      <c r="D11" s="64">
        <v>669</v>
      </c>
      <c r="E11" s="49">
        <v>611</v>
      </c>
      <c r="F11" s="58">
        <v>58</v>
      </c>
      <c r="G11" s="49">
        <v>44</v>
      </c>
      <c r="H11" s="49">
        <v>0</v>
      </c>
      <c r="I11" s="49">
        <v>12</v>
      </c>
      <c r="J11" s="59">
        <v>101</v>
      </c>
      <c r="K11" s="58">
        <v>225</v>
      </c>
      <c r="L11" s="58">
        <v>204</v>
      </c>
      <c r="M11" s="58">
        <v>89</v>
      </c>
      <c r="N11" s="58">
        <v>22</v>
      </c>
      <c r="O11" s="58">
        <v>16</v>
      </c>
      <c r="P11" s="58">
        <v>11</v>
      </c>
      <c r="Q11" s="58">
        <v>432</v>
      </c>
      <c r="R11" s="58">
        <v>224</v>
      </c>
      <c r="S11" s="58">
        <v>2</v>
      </c>
    </row>
    <row r="12" spans="1:19" s="93" customFormat="1" ht="13.5" customHeight="1">
      <c r="A12" s="542"/>
      <c r="B12" s="517"/>
      <c r="C12" s="235" t="s">
        <v>704</v>
      </c>
      <c r="D12" s="64">
        <v>930</v>
      </c>
      <c r="E12" s="49">
        <v>887</v>
      </c>
      <c r="F12" s="58">
        <v>43</v>
      </c>
      <c r="G12" s="49">
        <v>43</v>
      </c>
      <c r="H12" s="49">
        <v>0</v>
      </c>
      <c r="I12" s="49">
        <v>51</v>
      </c>
      <c r="J12" s="59">
        <v>171</v>
      </c>
      <c r="K12" s="58">
        <v>312</v>
      </c>
      <c r="L12" s="58">
        <v>253</v>
      </c>
      <c r="M12" s="58">
        <v>113</v>
      </c>
      <c r="N12" s="58">
        <v>19</v>
      </c>
      <c r="O12" s="58">
        <v>11</v>
      </c>
      <c r="P12" s="58">
        <v>10</v>
      </c>
      <c r="Q12" s="58">
        <v>753</v>
      </c>
      <c r="R12" s="58">
        <v>167</v>
      </c>
      <c r="S12" s="58">
        <v>0</v>
      </c>
    </row>
    <row r="13" spans="1:19" s="93" customFormat="1" ht="13.5" customHeight="1">
      <c r="A13" s="542"/>
      <c r="B13" s="507" t="s">
        <v>522</v>
      </c>
      <c r="C13" s="234" t="s">
        <v>702</v>
      </c>
      <c r="D13" s="54">
        <f>SUM(D14:D15)</f>
        <v>1663</v>
      </c>
      <c r="E13" s="55">
        <f>SUM(E14:E15)</f>
        <v>1505</v>
      </c>
      <c r="F13" s="55">
        <f>SUM(F14:F15)</f>
        <v>158</v>
      </c>
      <c r="G13" s="55">
        <v>43</v>
      </c>
      <c r="H13" s="55">
        <f>SUM(H14:H15)</f>
        <v>0</v>
      </c>
      <c r="I13" s="55">
        <f aca="true" t="shared" si="2" ref="I13:S13">SUM(I14:I15)</f>
        <v>65</v>
      </c>
      <c r="J13" s="55">
        <f t="shared" si="2"/>
        <v>318</v>
      </c>
      <c r="K13" s="55">
        <f t="shared" si="2"/>
        <v>523</v>
      </c>
      <c r="L13" s="55">
        <f t="shared" si="2"/>
        <v>493</v>
      </c>
      <c r="M13" s="55">
        <f t="shared" si="2"/>
        <v>205</v>
      </c>
      <c r="N13" s="55">
        <f t="shared" si="2"/>
        <v>45</v>
      </c>
      <c r="O13" s="55">
        <f t="shared" si="2"/>
        <v>14</v>
      </c>
      <c r="P13" s="55">
        <f t="shared" si="2"/>
        <v>37</v>
      </c>
      <c r="Q13" s="55">
        <f t="shared" si="2"/>
        <v>1304</v>
      </c>
      <c r="R13" s="55">
        <f t="shared" si="2"/>
        <v>320</v>
      </c>
      <c r="S13" s="55">
        <f t="shared" si="2"/>
        <v>2</v>
      </c>
    </row>
    <row r="14" spans="1:19" s="93" customFormat="1" ht="13.5" customHeight="1">
      <c r="A14" s="542"/>
      <c r="B14" s="516"/>
      <c r="C14" s="124" t="s">
        <v>703</v>
      </c>
      <c r="D14" s="64">
        <v>667</v>
      </c>
      <c r="E14" s="49">
        <v>570</v>
      </c>
      <c r="F14" s="58">
        <v>97</v>
      </c>
      <c r="G14" s="49">
        <v>44</v>
      </c>
      <c r="H14" s="49">
        <v>0</v>
      </c>
      <c r="I14" s="49">
        <v>13</v>
      </c>
      <c r="J14" s="59">
        <v>110</v>
      </c>
      <c r="K14" s="58">
        <v>235</v>
      </c>
      <c r="L14" s="58">
        <v>184</v>
      </c>
      <c r="M14" s="58">
        <v>97</v>
      </c>
      <c r="N14" s="58">
        <v>21</v>
      </c>
      <c r="O14" s="58">
        <v>7</v>
      </c>
      <c r="P14" s="58">
        <v>16</v>
      </c>
      <c r="Q14" s="58">
        <v>476</v>
      </c>
      <c r="R14" s="58">
        <v>174</v>
      </c>
      <c r="S14" s="58">
        <v>1</v>
      </c>
    </row>
    <row r="15" spans="1:19" s="93" customFormat="1" ht="13.5" customHeight="1">
      <c r="A15" s="542"/>
      <c r="B15" s="517"/>
      <c r="C15" s="235" t="s">
        <v>704</v>
      </c>
      <c r="D15" s="64">
        <v>996</v>
      </c>
      <c r="E15" s="49">
        <v>935</v>
      </c>
      <c r="F15" s="58">
        <v>61</v>
      </c>
      <c r="G15" s="49">
        <v>43</v>
      </c>
      <c r="H15" s="49">
        <v>0</v>
      </c>
      <c r="I15" s="49">
        <v>52</v>
      </c>
      <c r="J15" s="59">
        <v>208</v>
      </c>
      <c r="K15" s="58">
        <v>288</v>
      </c>
      <c r="L15" s="58">
        <v>309</v>
      </c>
      <c r="M15" s="58">
        <v>108</v>
      </c>
      <c r="N15" s="58">
        <v>24</v>
      </c>
      <c r="O15" s="58">
        <v>7</v>
      </c>
      <c r="P15" s="58">
        <v>21</v>
      </c>
      <c r="Q15" s="58">
        <v>828</v>
      </c>
      <c r="R15" s="58">
        <v>146</v>
      </c>
      <c r="S15" s="58">
        <v>1</v>
      </c>
    </row>
    <row r="16" spans="1:19" s="93" customFormat="1" ht="13.5" customHeight="1">
      <c r="A16" s="542"/>
      <c r="B16" s="507" t="s">
        <v>532</v>
      </c>
      <c r="C16" s="234" t="s">
        <v>702</v>
      </c>
      <c r="D16" s="54">
        <f>SUM(D17:D18)</f>
        <v>1583</v>
      </c>
      <c r="E16" s="55">
        <f>SUM(E17:E18)</f>
        <v>1441</v>
      </c>
      <c r="F16" s="55">
        <f>SUM(F17:F18)</f>
        <v>142</v>
      </c>
      <c r="G16" s="55">
        <v>44</v>
      </c>
      <c r="H16" s="55">
        <f>SUM(H17:H18)</f>
        <v>0</v>
      </c>
      <c r="I16" s="55">
        <f aca="true" t="shared" si="3" ref="I16:S16">SUM(I17:I18)</f>
        <v>37</v>
      </c>
      <c r="J16" s="55">
        <f t="shared" si="3"/>
        <v>260</v>
      </c>
      <c r="K16" s="55">
        <f t="shared" si="3"/>
        <v>509</v>
      </c>
      <c r="L16" s="55">
        <f t="shared" si="3"/>
        <v>479</v>
      </c>
      <c r="M16" s="55">
        <f t="shared" si="3"/>
        <v>218</v>
      </c>
      <c r="N16" s="55">
        <f t="shared" si="3"/>
        <v>65</v>
      </c>
      <c r="O16" s="55">
        <f t="shared" si="3"/>
        <v>15</v>
      </c>
      <c r="P16" s="55">
        <f t="shared" si="3"/>
        <v>27</v>
      </c>
      <c r="Q16" s="55">
        <f t="shared" si="3"/>
        <v>1240</v>
      </c>
      <c r="R16" s="55">
        <f t="shared" si="3"/>
        <v>316</v>
      </c>
      <c r="S16" s="55">
        <f t="shared" si="3"/>
        <v>0</v>
      </c>
    </row>
    <row r="17" spans="1:19" s="93" customFormat="1" ht="13.5" customHeight="1">
      <c r="A17" s="542"/>
      <c r="B17" s="516"/>
      <c r="C17" s="124" t="s">
        <v>703</v>
      </c>
      <c r="D17" s="64">
        <v>677</v>
      </c>
      <c r="E17" s="49">
        <v>575</v>
      </c>
      <c r="F17" s="49">
        <v>102</v>
      </c>
      <c r="G17" s="49">
        <v>45</v>
      </c>
      <c r="H17" s="49">
        <v>0</v>
      </c>
      <c r="I17" s="49">
        <v>10</v>
      </c>
      <c r="J17" s="49">
        <v>88</v>
      </c>
      <c r="K17" s="49">
        <v>230</v>
      </c>
      <c r="L17" s="49">
        <v>204</v>
      </c>
      <c r="M17" s="49">
        <v>105</v>
      </c>
      <c r="N17" s="49">
        <v>30</v>
      </c>
      <c r="O17" s="49">
        <v>10</v>
      </c>
      <c r="P17" s="49">
        <v>11</v>
      </c>
      <c r="Q17" s="49">
        <v>470</v>
      </c>
      <c r="R17" s="49">
        <v>196</v>
      </c>
      <c r="S17" s="49">
        <v>0</v>
      </c>
    </row>
    <row r="18" spans="1:19" s="93" customFormat="1" ht="13.5" customHeight="1">
      <c r="A18" s="542"/>
      <c r="B18" s="517"/>
      <c r="C18" s="235" t="s">
        <v>704</v>
      </c>
      <c r="D18" s="64">
        <v>906</v>
      </c>
      <c r="E18" s="49">
        <v>866</v>
      </c>
      <c r="F18" s="49">
        <v>40</v>
      </c>
      <c r="G18" s="49">
        <v>44</v>
      </c>
      <c r="H18" s="49">
        <v>0</v>
      </c>
      <c r="I18" s="49">
        <v>27</v>
      </c>
      <c r="J18" s="49">
        <v>172</v>
      </c>
      <c r="K18" s="49">
        <v>279</v>
      </c>
      <c r="L18" s="49">
        <v>275</v>
      </c>
      <c r="M18" s="49">
        <v>113</v>
      </c>
      <c r="N18" s="49">
        <v>35</v>
      </c>
      <c r="O18" s="49">
        <v>5</v>
      </c>
      <c r="P18" s="49">
        <v>16</v>
      </c>
      <c r="Q18" s="49">
        <v>770</v>
      </c>
      <c r="R18" s="49">
        <v>120</v>
      </c>
      <c r="S18" s="49">
        <v>0</v>
      </c>
    </row>
    <row r="19" spans="1:19" s="93" customFormat="1" ht="13.5" customHeight="1">
      <c r="A19" s="580" t="s">
        <v>453</v>
      </c>
      <c r="B19" s="491" t="s">
        <v>533</v>
      </c>
      <c r="C19" s="234" t="s">
        <v>702</v>
      </c>
      <c r="D19" s="54">
        <f>SUM(D20:D21)</f>
        <v>1699</v>
      </c>
      <c r="E19" s="55">
        <f>SUM(E20:E21)</f>
        <v>1551</v>
      </c>
      <c r="F19" s="55">
        <f>SUM(F20:F21)</f>
        <v>148</v>
      </c>
      <c r="G19" s="55">
        <v>44</v>
      </c>
      <c r="H19" s="55">
        <f>SUM(H20:H21)</f>
        <v>1</v>
      </c>
      <c r="I19" s="55">
        <f aca="true" t="shared" si="4" ref="I19:S19">SUM(I20:I21)</f>
        <v>33</v>
      </c>
      <c r="J19" s="55">
        <f t="shared" si="4"/>
        <v>316</v>
      </c>
      <c r="K19" s="55">
        <f t="shared" si="4"/>
        <v>472</v>
      </c>
      <c r="L19" s="55">
        <f t="shared" si="4"/>
        <v>524</v>
      </c>
      <c r="M19" s="55">
        <f t="shared" si="4"/>
        <v>266</v>
      </c>
      <c r="N19" s="55">
        <f t="shared" si="4"/>
        <v>72</v>
      </c>
      <c r="O19" s="55">
        <f t="shared" si="4"/>
        <v>15</v>
      </c>
      <c r="P19" s="55">
        <f t="shared" si="4"/>
        <v>53</v>
      </c>
      <c r="Q19" s="55">
        <f t="shared" si="4"/>
        <v>1306</v>
      </c>
      <c r="R19" s="55">
        <f t="shared" si="4"/>
        <v>340</v>
      </c>
      <c r="S19" s="55">
        <f t="shared" si="4"/>
        <v>0</v>
      </c>
    </row>
    <row r="20" spans="1:19" s="93" customFormat="1" ht="13.5" customHeight="1">
      <c r="A20" s="580"/>
      <c r="B20" s="492"/>
      <c r="C20" s="124" t="s">
        <v>703</v>
      </c>
      <c r="D20" s="64">
        <v>719</v>
      </c>
      <c r="E20" s="49">
        <v>611</v>
      </c>
      <c r="F20" s="59">
        <v>108</v>
      </c>
      <c r="G20" s="58">
        <v>45</v>
      </c>
      <c r="H20" s="58">
        <v>0</v>
      </c>
      <c r="I20" s="58">
        <v>15</v>
      </c>
      <c r="J20" s="58">
        <v>99</v>
      </c>
      <c r="K20" s="58">
        <v>212</v>
      </c>
      <c r="L20" s="58">
        <v>220</v>
      </c>
      <c r="M20" s="58">
        <v>132</v>
      </c>
      <c r="N20" s="58">
        <v>35</v>
      </c>
      <c r="O20" s="58">
        <v>6</v>
      </c>
      <c r="P20" s="59">
        <v>30</v>
      </c>
      <c r="Q20" s="59">
        <v>497</v>
      </c>
      <c r="R20" s="59">
        <v>192</v>
      </c>
      <c r="S20" s="59">
        <v>0</v>
      </c>
    </row>
    <row r="21" spans="1:19" s="93" customFormat="1" ht="13.5" customHeight="1">
      <c r="A21" s="580"/>
      <c r="B21" s="493"/>
      <c r="C21" s="235" t="s">
        <v>704</v>
      </c>
      <c r="D21" s="64">
        <v>980</v>
      </c>
      <c r="E21" s="49">
        <v>940</v>
      </c>
      <c r="F21" s="59">
        <v>40</v>
      </c>
      <c r="G21" s="58">
        <v>44</v>
      </c>
      <c r="H21" s="58">
        <v>1</v>
      </c>
      <c r="I21" s="58">
        <v>18</v>
      </c>
      <c r="J21" s="58">
        <v>217</v>
      </c>
      <c r="K21" s="58">
        <v>260</v>
      </c>
      <c r="L21" s="58">
        <v>304</v>
      </c>
      <c r="M21" s="58">
        <v>134</v>
      </c>
      <c r="N21" s="58">
        <v>37</v>
      </c>
      <c r="O21" s="58">
        <v>9</v>
      </c>
      <c r="P21" s="59">
        <v>23</v>
      </c>
      <c r="Q21" s="59">
        <v>809</v>
      </c>
      <c r="R21" s="59">
        <v>148</v>
      </c>
      <c r="S21" s="59">
        <v>0</v>
      </c>
    </row>
    <row r="22" spans="1:19" s="93" customFormat="1" ht="13.5" customHeight="1">
      <c r="A22" s="580"/>
      <c r="B22" s="492" t="s">
        <v>534</v>
      </c>
      <c r="C22" s="234" t="s">
        <v>702</v>
      </c>
      <c r="D22" s="54">
        <f>SUM(D23:D24)</f>
        <v>1638</v>
      </c>
      <c r="E22" s="55">
        <f>SUM(E23:E24)</f>
        <v>1444</v>
      </c>
      <c r="F22" s="55">
        <f>SUM(F23:F24)</f>
        <v>194</v>
      </c>
      <c r="G22" s="55">
        <v>45</v>
      </c>
      <c r="H22" s="55">
        <f>SUM(H23:H24)</f>
        <v>0</v>
      </c>
      <c r="I22" s="55">
        <f aca="true" t="shared" si="5" ref="I22:S22">SUM(I23:I24)</f>
        <v>14</v>
      </c>
      <c r="J22" s="55">
        <f t="shared" si="5"/>
        <v>255</v>
      </c>
      <c r="K22" s="55">
        <f t="shared" si="5"/>
        <v>467</v>
      </c>
      <c r="L22" s="55">
        <f t="shared" si="5"/>
        <v>518</v>
      </c>
      <c r="M22" s="55">
        <f t="shared" si="5"/>
        <v>279</v>
      </c>
      <c r="N22" s="55">
        <f t="shared" si="5"/>
        <v>94</v>
      </c>
      <c r="O22" s="55">
        <f t="shared" si="5"/>
        <v>11</v>
      </c>
      <c r="P22" s="55">
        <f t="shared" si="5"/>
        <v>38</v>
      </c>
      <c r="Q22" s="55">
        <f t="shared" si="5"/>
        <v>1269</v>
      </c>
      <c r="R22" s="55">
        <f t="shared" si="5"/>
        <v>328</v>
      </c>
      <c r="S22" s="55">
        <f t="shared" si="5"/>
        <v>3</v>
      </c>
    </row>
    <row r="23" spans="1:19" s="93" customFormat="1" ht="13.5" customHeight="1">
      <c r="A23" s="580"/>
      <c r="B23" s="492"/>
      <c r="C23" s="124" t="s">
        <v>703</v>
      </c>
      <c r="D23" s="24">
        <v>687</v>
      </c>
      <c r="E23" s="10">
        <v>554</v>
      </c>
      <c r="F23" s="10">
        <v>133</v>
      </c>
      <c r="G23" s="10">
        <v>46</v>
      </c>
      <c r="H23" s="10">
        <v>0</v>
      </c>
      <c r="I23" s="10">
        <v>7</v>
      </c>
      <c r="J23" s="10">
        <v>78</v>
      </c>
      <c r="K23" s="10">
        <v>195</v>
      </c>
      <c r="L23" s="10">
        <v>220</v>
      </c>
      <c r="M23" s="10">
        <v>138</v>
      </c>
      <c r="N23" s="10">
        <v>43</v>
      </c>
      <c r="O23" s="10">
        <v>6</v>
      </c>
      <c r="P23" s="10">
        <v>24</v>
      </c>
      <c r="Q23" s="10">
        <v>468</v>
      </c>
      <c r="R23" s="10">
        <v>194</v>
      </c>
      <c r="S23" s="10">
        <v>1</v>
      </c>
    </row>
    <row r="24" spans="1:19" s="93" customFormat="1" ht="13.5" customHeight="1">
      <c r="A24" s="580"/>
      <c r="B24" s="492"/>
      <c r="C24" s="235" t="s">
        <v>704</v>
      </c>
      <c r="D24" s="24">
        <v>951</v>
      </c>
      <c r="E24" s="10">
        <v>890</v>
      </c>
      <c r="F24" s="10">
        <v>61</v>
      </c>
      <c r="G24" s="10">
        <v>44</v>
      </c>
      <c r="H24" s="10">
        <v>0</v>
      </c>
      <c r="I24" s="10">
        <v>7</v>
      </c>
      <c r="J24" s="10">
        <v>177</v>
      </c>
      <c r="K24" s="10">
        <v>272</v>
      </c>
      <c r="L24" s="10">
        <v>298</v>
      </c>
      <c r="M24" s="10">
        <v>141</v>
      </c>
      <c r="N24" s="10">
        <v>51</v>
      </c>
      <c r="O24" s="10">
        <v>5</v>
      </c>
      <c r="P24" s="10">
        <v>14</v>
      </c>
      <c r="Q24" s="10">
        <v>801</v>
      </c>
      <c r="R24" s="10">
        <v>134</v>
      </c>
      <c r="S24" s="10">
        <v>2</v>
      </c>
    </row>
    <row r="25" spans="1:19" s="93" customFormat="1" ht="13.5" customHeight="1">
      <c r="A25" s="580"/>
      <c r="B25" s="491" t="s">
        <v>535</v>
      </c>
      <c r="C25" s="234" t="s">
        <v>702</v>
      </c>
      <c r="D25" s="54">
        <f>SUM(D26:D27)</f>
        <v>1666</v>
      </c>
      <c r="E25" s="55">
        <f>SUM(E26:E27)</f>
        <v>1465</v>
      </c>
      <c r="F25" s="55">
        <f>SUM(F26:F27)</f>
        <v>201</v>
      </c>
      <c r="G25" s="55">
        <v>45</v>
      </c>
      <c r="H25" s="55">
        <f>SUM(H26:H27)</f>
        <v>0</v>
      </c>
      <c r="I25" s="55">
        <f aca="true" t="shared" si="6" ref="I25:S25">SUM(I26:I27)</f>
        <v>17</v>
      </c>
      <c r="J25" s="55">
        <f t="shared" si="6"/>
        <v>217</v>
      </c>
      <c r="K25" s="55">
        <f t="shared" si="6"/>
        <v>517</v>
      </c>
      <c r="L25" s="55">
        <f t="shared" si="6"/>
        <v>485</v>
      </c>
      <c r="M25" s="55">
        <f t="shared" si="6"/>
        <v>305</v>
      </c>
      <c r="N25" s="55">
        <f t="shared" si="6"/>
        <v>106</v>
      </c>
      <c r="O25" s="55">
        <f t="shared" si="6"/>
        <v>19</v>
      </c>
      <c r="P25" s="55">
        <f t="shared" si="6"/>
        <v>53</v>
      </c>
      <c r="Q25" s="55">
        <f t="shared" si="6"/>
        <v>1278</v>
      </c>
      <c r="R25" s="55">
        <f t="shared" si="6"/>
        <v>334</v>
      </c>
      <c r="S25" s="55">
        <f t="shared" si="6"/>
        <v>1</v>
      </c>
    </row>
    <row r="26" spans="1:19" s="93" customFormat="1" ht="13.5" customHeight="1">
      <c r="A26" s="580"/>
      <c r="B26" s="492"/>
      <c r="C26" s="124" t="s">
        <v>703</v>
      </c>
      <c r="D26" s="24">
        <v>649</v>
      </c>
      <c r="E26" s="10">
        <v>541</v>
      </c>
      <c r="F26" s="10">
        <v>108</v>
      </c>
      <c r="G26" s="10">
        <v>46</v>
      </c>
      <c r="H26" s="10">
        <v>0</v>
      </c>
      <c r="I26" s="10">
        <v>7</v>
      </c>
      <c r="J26" s="10">
        <v>54</v>
      </c>
      <c r="K26" s="10">
        <v>204</v>
      </c>
      <c r="L26" s="10">
        <v>194</v>
      </c>
      <c r="M26" s="10">
        <v>136</v>
      </c>
      <c r="N26" s="10">
        <v>46</v>
      </c>
      <c r="O26" s="10">
        <v>8</v>
      </c>
      <c r="P26" s="10">
        <v>17</v>
      </c>
      <c r="Q26" s="10">
        <v>430</v>
      </c>
      <c r="R26" s="10">
        <v>201</v>
      </c>
      <c r="S26" s="10">
        <v>1</v>
      </c>
    </row>
    <row r="27" spans="1:19" s="93" customFormat="1" ht="13.5" customHeight="1">
      <c r="A27" s="580"/>
      <c r="B27" s="493"/>
      <c r="C27" s="235" t="s">
        <v>704</v>
      </c>
      <c r="D27" s="24">
        <v>1017</v>
      </c>
      <c r="E27" s="10">
        <v>924</v>
      </c>
      <c r="F27" s="10">
        <v>93</v>
      </c>
      <c r="G27" s="10">
        <v>45</v>
      </c>
      <c r="H27" s="10">
        <v>0</v>
      </c>
      <c r="I27" s="10">
        <v>10</v>
      </c>
      <c r="J27" s="10">
        <v>163</v>
      </c>
      <c r="K27" s="10">
        <v>313</v>
      </c>
      <c r="L27" s="10">
        <v>291</v>
      </c>
      <c r="M27" s="10">
        <v>169</v>
      </c>
      <c r="N27" s="10">
        <v>60</v>
      </c>
      <c r="O27" s="10">
        <v>11</v>
      </c>
      <c r="P27" s="10">
        <v>36</v>
      </c>
      <c r="Q27" s="10">
        <v>848</v>
      </c>
      <c r="R27" s="10">
        <v>133</v>
      </c>
      <c r="S27" s="10">
        <v>0</v>
      </c>
    </row>
    <row r="28" spans="1:19" s="93" customFormat="1" ht="13.5" customHeight="1">
      <c r="A28" s="580"/>
      <c r="B28" s="491" t="s">
        <v>536</v>
      </c>
      <c r="C28" s="234" t="s">
        <v>702</v>
      </c>
      <c r="D28" s="54">
        <f>SUM(D29:D30)</f>
        <v>1809</v>
      </c>
      <c r="E28" s="55">
        <f>SUM(E29:E30)</f>
        <v>1534</v>
      </c>
      <c r="F28" s="55">
        <f>SUM(F29:F30)</f>
        <v>275</v>
      </c>
      <c r="G28" s="55">
        <v>45</v>
      </c>
      <c r="H28" s="55">
        <f>SUM(H29:H30)</f>
        <v>0</v>
      </c>
      <c r="I28" s="55">
        <f aca="true" t="shared" si="7" ref="I28:S28">SUM(I29:I30)</f>
        <v>14</v>
      </c>
      <c r="J28" s="55">
        <f t="shared" si="7"/>
        <v>186</v>
      </c>
      <c r="K28" s="55">
        <f t="shared" si="7"/>
        <v>507</v>
      </c>
      <c r="L28" s="55">
        <f t="shared" si="7"/>
        <v>587</v>
      </c>
      <c r="M28" s="55">
        <f t="shared" si="7"/>
        <v>360</v>
      </c>
      <c r="N28" s="55">
        <f t="shared" si="7"/>
        <v>133</v>
      </c>
      <c r="O28" s="55">
        <f t="shared" si="7"/>
        <v>22</v>
      </c>
      <c r="P28" s="55">
        <f t="shared" si="7"/>
        <v>48</v>
      </c>
      <c r="Q28" s="55">
        <f t="shared" si="7"/>
        <v>1460</v>
      </c>
      <c r="R28" s="55">
        <f t="shared" si="7"/>
        <v>300</v>
      </c>
      <c r="S28" s="55">
        <f t="shared" si="7"/>
        <v>1</v>
      </c>
    </row>
    <row r="29" spans="1:20" s="93" customFormat="1" ht="13.5" customHeight="1">
      <c r="A29" s="580"/>
      <c r="B29" s="492"/>
      <c r="C29" s="124" t="s">
        <v>703</v>
      </c>
      <c r="D29" s="24">
        <v>731</v>
      </c>
      <c r="E29" s="10">
        <v>577</v>
      </c>
      <c r="F29" s="10">
        <v>154</v>
      </c>
      <c r="G29" s="10">
        <v>46</v>
      </c>
      <c r="H29" s="10">
        <v>0</v>
      </c>
      <c r="I29" s="10">
        <v>5</v>
      </c>
      <c r="J29" s="10">
        <v>59</v>
      </c>
      <c r="K29" s="10">
        <v>189</v>
      </c>
      <c r="L29" s="10">
        <v>252</v>
      </c>
      <c r="M29" s="10">
        <v>162</v>
      </c>
      <c r="N29" s="10">
        <v>54</v>
      </c>
      <c r="O29" s="10">
        <v>10</v>
      </c>
      <c r="P29" s="10">
        <v>21</v>
      </c>
      <c r="Q29" s="10">
        <v>533</v>
      </c>
      <c r="R29" s="10">
        <v>176</v>
      </c>
      <c r="S29" s="10">
        <v>1</v>
      </c>
      <c r="T29" s="94"/>
    </row>
    <row r="30" spans="1:20" s="93" customFormat="1" ht="13.5" customHeight="1">
      <c r="A30" s="580"/>
      <c r="B30" s="493"/>
      <c r="C30" s="235" t="s">
        <v>704</v>
      </c>
      <c r="D30" s="24">
        <v>1078</v>
      </c>
      <c r="E30" s="10">
        <v>957</v>
      </c>
      <c r="F30" s="10">
        <v>121</v>
      </c>
      <c r="G30" s="10">
        <v>45</v>
      </c>
      <c r="H30" s="10">
        <v>0</v>
      </c>
      <c r="I30" s="10">
        <v>9</v>
      </c>
      <c r="J30" s="10">
        <v>127</v>
      </c>
      <c r="K30" s="10">
        <v>318</v>
      </c>
      <c r="L30" s="10">
        <v>335</v>
      </c>
      <c r="M30" s="10">
        <v>198</v>
      </c>
      <c r="N30" s="10">
        <v>79</v>
      </c>
      <c r="O30" s="10">
        <v>12</v>
      </c>
      <c r="P30" s="10">
        <v>27</v>
      </c>
      <c r="Q30" s="10">
        <v>927</v>
      </c>
      <c r="R30" s="10">
        <v>124</v>
      </c>
      <c r="S30" s="10">
        <v>0</v>
      </c>
      <c r="T30" s="94"/>
    </row>
    <row r="31" spans="1:19" s="93" customFormat="1" ht="13.5" customHeight="1">
      <c r="A31" s="580"/>
      <c r="B31" s="507" t="s">
        <v>537</v>
      </c>
      <c r="C31" s="234" t="s">
        <v>702</v>
      </c>
      <c r="D31" s="54">
        <f>SUM(D32:D33)</f>
        <v>1785</v>
      </c>
      <c r="E31" s="55">
        <f>SUM(E32:E33)</f>
        <v>1509</v>
      </c>
      <c r="F31" s="55">
        <f>SUM(F32:F33)</f>
        <v>276</v>
      </c>
      <c r="G31" s="55">
        <v>46</v>
      </c>
      <c r="H31" s="55">
        <f>SUM(H32:H33)</f>
        <v>0</v>
      </c>
      <c r="I31" s="55">
        <f aca="true" t="shared" si="8" ref="I31:S31">SUM(I32:I33)</f>
        <v>12</v>
      </c>
      <c r="J31" s="55">
        <f t="shared" si="8"/>
        <v>188</v>
      </c>
      <c r="K31" s="55">
        <f t="shared" si="8"/>
        <v>483</v>
      </c>
      <c r="L31" s="55">
        <f t="shared" si="8"/>
        <v>565</v>
      </c>
      <c r="M31" s="55">
        <f t="shared" si="8"/>
        <v>375</v>
      </c>
      <c r="N31" s="55">
        <f t="shared" si="8"/>
        <v>136</v>
      </c>
      <c r="O31" s="55">
        <f t="shared" si="8"/>
        <v>26</v>
      </c>
      <c r="P31" s="55">
        <f t="shared" si="8"/>
        <v>59</v>
      </c>
      <c r="Q31" s="55">
        <f t="shared" si="8"/>
        <v>1463</v>
      </c>
      <c r="R31" s="55">
        <f t="shared" si="8"/>
        <v>262</v>
      </c>
      <c r="S31" s="55">
        <f t="shared" si="8"/>
        <v>1</v>
      </c>
    </row>
    <row r="32" spans="1:20" s="93" customFormat="1" ht="13.5" customHeight="1">
      <c r="A32" s="580"/>
      <c r="B32" s="516"/>
      <c r="C32" s="124" t="s">
        <v>703</v>
      </c>
      <c r="D32" s="24">
        <v>717</v>
      </c>
      <c r="E32" s="10">
        <v>558</v>
      </c>
      <c r="F32" s="10">
        <v>159</v>
      </c>
      <c r="G32" s="10">
        <v>46</v>
      </c>
      <c r="H32" s="10">
        <v>0</v>
      </c>
      <c r="I32" s="10">
        <v>3</v>
      </c>
      <c r="J32" s="10">
        <v>71</v>
      </c>
      <c r="K32" s="10">
        <v>179</v>
      </c>
      <c r="L32" s="10">
        <v>233</v>
      </c>
      <c r="M32" s="10">
        <v>162</v>
      </c>
      <c r="N32" s="10">
        <v>56</v>
      </c>
      <c r="O32" s="10">
        <v>13</v>
      </c>
      <c r="P32" s="10">
        <v>24</v>
      </c>
      <c r="Q32" s="10">
        <v>544</v>
      </c>
      <c r="R32" s="10">
        <v>149</v>
      </c>
      <c r="S32" s="10">
        <v>0</v>
      </c>
      <c r="T32" s="94"/>
    </row>
    <row r="33" spans="1:20" s="93" customFormat="1" ht="13.5" customHeight="1">
      <c r="A33" s="581"/>
      <c r="B33" s="516"/>
      <c r="C33" s="235" t="s">
        <v>704</v>
      </c>
      <c r="D33" s="24">
        <v>1068</v>
      </c>
      <c r="E33" s="10">
        <v>951</v>
      </c>
      <c r="F33" s="10">
        <v>117</v>
      </c>
      <c r="G33" s="10">
        <v>46</v>
      </c>
      <c r="H33" s="10">
        <v>0</v>
      </c>
      <c r="I33" s="10">
        <v>9</v>
      </c>
      <c r="J33" s="10">
        <v>117</v>
      </c>
      <c r="K33" s="10">
        <v>304</v>
      </c>
      <c r="L33" s="10">
        <v>332</v>
      </c>
      <c r="M33" s="10">
        <v>213</v>
      </c>
      <c r="N33" s="10">
        <v>80</v>
      </c>
      <c r="O33" s="10">
        <v>13</v>
      </c>
      <c r="P33" s="10">
        <v>35</v>
      </c>
      <c r="Q33" s="10">
        <v>919</v>
      </c>
      <c r="R33" s="10">
        <v>113</v>
      </c>
      <c r="S33" s="10">
        <v>1</v>
      </c>
      <c r="T33" s="94"/>
    </row>
    <row r="34" spans="1:20" ht="13.5" customHeight="1">
      <c r="A34" s="541" t="s">
        <v>454</v>
      </c>
      <c r="B34" s="534" t="s">
        <v>581</v>
      </c>
      <c r="C34" s="234" t="s">
        <v>980</v>
      </c>
      <c r="D34" s="140">
        <f>SUM(D35:D36)</f>
        <v>19047</v>
      </c>
      <c r="E34" s="56">
        <f>SUM(E37,E40,E43,E46,'表33(續2)'!E7,'表33(續2)'!E10,'表33(續2)'!E13,'表33(續2)'!E16,'表33(續2)'!E19,'表33(續2)'!E22)</f>
        <v>17513</v>
      </c>
      <c r="F34" s="56">
        <f>SUM(F37,F40,F43,F46,'表33(續2)'!F7,'表33(續2)'!F10,'表33(續2)'!F13,'表33(續2)'!F16,'表33(續2)'!F19,'表33(續2)'!F22)</f>
        <v>1534</v>
      </c>
      <c r="G34" s="56">
        <v>38</v>
      </c>
      <c r="H34" s="56">
        <f>SUM(H35:H36)</f>
        <v>106</v>
      </c>
      <c r="I34" s="56">
        <f aca="true" t="shared" si="9" ref="I34:S34">SUM(I35:I36)</f>
        <v>3801</v>
      </c>
      <c r="J34" s="56">
        <f t="shared" si="9"/>
        <v>7305</v>
      </c>
      <c r="K34" s="56">
        <f t="shared" si="9"/>
        <v>5079</v>
      </c>
      <c r="L34" s="56">
        <f t="shared" si="9"/>
        <v>2071</v>
      </c>
      <c r="M34" s="56">
        <f t="shared" si="9"/>
        <v>590</v>
      </c>
      <c r="N34" s="56">
        <f t="shared" si="9"/>
        <v>92</v>
      </c>
      <c r="O34" s="56">
        <f t="shared" si="9"/>
        <v>3</v>
      </c>
      <c r="P34" s="56">
        <f t="shared" si="9"/>
        <v>1</v>
      </c>
      <c r="Q34" s="56">
        <f t="shared" si="9"/>
        <v>4058</v>
      </c>
      <c r="R34" s="56">
        <f t="shared" si="9"/>
        <v>7920</v>
      </c>
      <c r="S34" s="56">
        <f t="shared" si="9"/>
        <v>6</v>
      </c>
      <c r="T34" s="311"/>
    </row>
    <row r="35" spans="1:19" ht="13.5" customHeight="1">
      <c r="A35" s="542"/>
      <c r="B35" s="516"/>
      <c r="C35" s="124" t="s">
        <v>981</v>
      </c>
      <c r="D35" s="24">
        <f>SUM(D38,D41,D44,D47,'表33(續2)'!D8,'表33(續2)'!D11,'表33(續2)'!D14,'表33(續2)'!D17,'表33(續2)'!D20,'表33(續2)'!D23)</f>
        <v>18856</v>
      </c>
      <c r="E35" s="10">
        <f>SUM(E38,E41,E44,E47,'表33(續2)'!E8,'表33(續2)'!E11,'表33(續2)'!E14,'表33(續2)'!E17,'表33(續2)'!E20,'表33(續2)'!E23)</f>
        <v>17325</v>
      </c>
      <c r="F35" s="10">
        <f>SUM(F38,F41,F44,F47,'表33(續2)'!F8,'表33(續2)'!F11,'表33(續2)'!F14,'表33(續2)'!F17,'表33(續2)'!F20,'表33(續2)'!F23)</f>
        <v>1531</v>
      </c>
      <c r="G35" s="10">
        <v>38</v>
      </c>
      <c r="H35" s="10">
        <f>SUM(H38,H41,H44,H47,'表33(續2)'!H8,'表33(續2)'!H11,'表33(續2)'!H14,'表33(續2)'!H17,'表33(續2)'!H20,'表33(續2)'!H23)</f>
        <v>106</v>
      </c>
      <c r="I35" s="10">
        <f>SUM(I38,I41,I44,I47,'表33(續2)'!I8,'表33(續2)'!I11,'表33(續2)'!I14,'表33(續2)'!I17,'表33(續2)'!I20,'表33(續2)'!I23)</f>
        <v>3783</v>
      </c>
      <c r="J35" s="10">
        <f>SUM(J38,J41,J44,J47,'表33(續2)'!J8,'表33(續2)'!J11,'表33(續2)'!J14,'表33(續2)'!J17,'表33(續2)'!J20,'表33(續2)'!J23)</f>
        <v>7263</v>
      </c>
      <c r="K35" s="10">
        <f>SUM(K38,K41,K44,K47,'表33(續2)'!K8,'表33(續2)'!K11,'表33(續2)'!K14,'表33(續2)'!K17,'表33(續2)'!K20,'表33(續2)'!K23)</f>
        <v>4975</v>
      </c>
      <c r="L35" s="10">
        <f>SUM(L38,L41,L44,L47,'表33(續2)'!L8,'表33(續2)'!L11,'表33(續2)'!L14,'表33(續2)'!L17,'表33(續2)'!L20,'表33(續2)'!L23)</f>
        <v>2050</v>
      </c>
      <c r="M35" s="10">
        <f>SUM(M38,M41,M44,M47,'表33(續2)'!M8,'表33(續2)'!M11,'表33(續2)'!M14,'表33(續2)'!M17,'表33(續2)'!M20,'表33(續2)'!M23)</f>
        <v>586</v>
      </c>
      <c r="N35" s="10">
        <f>SUM(N38,N41,N44,N47,'表33(續2)'!N8,'表33(續2)'!N11,'表33(續2)'!N14,'表33(續2)'!N17,'表33(續2)'!N20,'表33(續2)'!N23)</f>
        <v>90</v>
      </c>
      <c r="O35" s="10">
        <f>SUM(O38,O41,O44,O47,'表33(續2)'!O8,'表33(續2)'!O11,'表33(續2)'!O14,'表33(續2)'!O17,'表33(續2)'!O20,'表33(續2)'!O23)</f>
        <v>3</v>
      </c>
      <c r="P35" s="10">
        <f>SUM(P38,P41,P44,P47,'表33(續2)'!P8,'表33(續2)'!P11,'表33(續2)'!P14,'表33(續2)'!P17,'表33(續2)'!P20,'表33(續2)'!P23)</f>
        <v>1</v>
      </c>
      <c r="Q35" s="10">
        <f>SUM(Q38,Q41,Q44,Q47,'表33(續2)'!Q8,'表33(續2)'!Q11,'表33(續2)'!Q14,'表33(續2)'!Q17,'表33(續2)'!Q20,'表33(續2)'!Q23)</f>
        <v>4031</v>
      </c>
      <c r="R35" s="10">
        <f>SUM(R38,R41,R44,R47,'表33(續2)'!R8,'表33(續2)'!R11,'表33(續2)'!R14,'表33(續2)'!R17,'表33(續2)'!R20,'表33(續2)'!R23)</f>
        <v>7873</v>
      </c>
      <c r="S35" s="10">
        <f>SUM(S38,S41,S44,S47,'表33(續2)'!S8,'表33(續2)'!S11,'表33(續2)'!S14,'表33(續2)'!S17,'表33(續2)'!S20,'表33(續2)'!S23)</f>
        <v>6</v>
      </c>
    </row>
    <row r="36" spans="1:19" ht="13.5" customHeight="1">
      <c r="A36" s="542"/>
      <c r="B36" s="517"/>
      <c r="C36" s="235" t="s">
        <v>982</v>
      </c>
      <c r="D36" s="24">
        <f>SUM(D39,D42,D45,D48,'表33(續2)'!D9,'表33(續2)'!D12,'表33(續2)'!D15,'表33(續2)'!D18,'表33(續2)'!D21,'表33(續2)'!D24)</f>
        <v>191</v>
      </c>
      <c r="E36" s="10">
        <f>SUM(E39,E42,E45,E48,'表33(續2)'!E9,'表33(續2)'!E12,'表33(續2)'!E15,'表33(續2)'!E18,'表33(續2)'!E21,'表33(續2)'!E24)</f>
        <v>188</v>
      </c>
      <c r="F36" s="10">
        <f>SUM(F39,F42,F45,F48,'表33(續2)'!F9,'表33(續2)'!F12,'表33(續2)'!F15,'表33(續2)'!F18,'表33(續2)'!F21,'表33(續2)'!F24)</f>
        <v>3</v>
      </c>
      <c r="G36" s="10">
        <v>40</v>
      </c>
      <c r="H36" s="10">
        <f>SUM(H39,H42,H45,H48,'表33(續2)'!H9,'表33(續2)'!H12,'表33(續2)'!H15,'表33(續2)'!H18,'表33(續2)'!H21,'表33(續2)'!H24)</f>
        <v>0</v>
      </c>
      <c r="I36" s="10">
        <f>SUM(I39,I42,I45,I48,'表33(續2)'!I9,'表33(續2)'!I12,'表33(續2)'!I15,'表33(續2)'!I18,'表33(續2)'!I21,'表33(續2)'!I24)</f>
        <v>18</v>
      </c>
      <c r="J36" s="10">
        <f>SUM(J39,J42,J45,J48,'表33(續2)'!J9,'表33(續2)'!J12,'表33(續2)'!J15,'表33(續2)'!J18,'表33(續2)'!J21,'表33(續2)'!J24)</f>
        <v>42</v>
      </c>
      <c r="K36" s="10">
        <f>SUM(K39,K42,K45,K48,'表33(續2)'!K9,'表33(續2)'!K12,'表33(續2)'!K15,'表33(續2)'!K18,'表33(續2)'!K21,'表33(續2)'!K24)</f>
        <v>104</v>
      </c>
      <c r="L36" s="10">
        <f>SUM(L39,L42,L45,L48,'表33(續2)'!L9,'表33(續2)'!L12,'表33(續2)'!L15,'表33(續2)'!L18,'表33(續2)'!L21,'表33(續2)'!L24)</f>
        <v>21</v>
      </c>
      <c r="M36" s="10">
        <f>SUM(M39,M42,M45,M48,'表33(續2)'!M9,'表33(續2)'!M12,'表33(續2)'!M15,'表33(續2)'!M18,'表33(續2)'!M21,'表33(續2)'!M24)</f>
        <v>4</v>
      </c>
      <c r="N36" s="10">
        <f>SUM(N39,N42,N45,N48,'表33(續2)'!N9,'表33(續2)'!N12,'表33(續2)'!N15,'表33(續2)'!N18,'表33(續2)'!N21,'表33(續2)'!N24)</f>
        <v>2</v>
      </c>
      <c r="O36" s="10">
        <f>SUM(O39,O42,O45,O48,'表33(續2)'!O9,'表33(續2)'!O12,'表33(續2)'!O15,'表33(續2)'!O18,'表33(續2)'!O21,'表33(續2)'!O24)</f>
        <v>0</v>
      </c>
      <c r="P36" s="10">
        <f>SUM(P39,P42,P45,P48,'表33(續2)'!P9,'表33(續2)'!P12,'表33(續2)'!P15,'表33(續2)'!P18,'表33(續2)'!P21,'表33(續2)'!P24)</f>
        <v>0</v>
      </c>
      <c r="Q36" s="10">
        <f>SUM(Q39,Q42,Q45,Q48,'表33(續2)'!Q9,'表33(續2)'!Q12,'表33(續2)'!Q15,'表33(續2)'!Q18,'表33(續2)'!Q21,'表33(續2)'!Q24)</f>
        <v>27</v>
      </c>
      <c r="R36" s="10">
        <f>SUM(R39,R42,R45,R48,'表33(續2)'!R9,'表33(續2)'!R12,'表33(續2)'!R15,'表33(續2)'!R18,'表33(續2)'!R21,'表33(續2)'!R24)</f>
        <v>47</v>
      </c>
      <c r="S36" s="10">
        <f>SUM(S39,S42,S45,S48,'表33(續2)'!S9,'表33(續2)'!S12,'表33(續2)'!S15,'表33(續2)'!S18,'表33(續2)'!S21,'表33(續2)'!S24)</f>
        <v>0</v>
      </c>
    </row>
    <row r="37" spans="1:19" ht="13.5" customHeight="1">
      <c r="A37" s="542"/>
      <c r="B37" s="491" t="s">
        <v>519</v>
      </c>
      <c r="C37" s="234" t="s">
        <v>980</v>
      </c>
      <c r="D37" s="54">
        <f>SUM(D38:D39)</f>
        <v>3849</v>
      </c>
      <c r="E37" s="55">
        <f>SUM(E38:E39)</f>
        <v>3776</v>
      </c>
      <c r="F37" s="55">
        <f>SUM(F38:F39)</f>
        <v>73</v>
      </c>
      <c r="G37" s="55">
        <v>40</v>
      </c>
      <c r="H37" s="55">
        <f>SUM(H38:H39)</f>
        <v>5</v>
      </c>
      <c r="I37" s="55">
        <f aca="true" t="shared" si="10" ref="I37:S37">SUM(I38:I39)</f>
        <v>419</v>
      </c>
      <c r="J37" s="55">
        <f t="shared" si="10"/>
        <v>1289</v>
      </c>
      <c r="K37" s="55">
        <f t="shared" si="10"/>
        <v>1221</v>
      </c>
      <c r="L37" s="55">
        <f t="shared" si="10"/>
        <v>613</v>
      </c>
      <c r="M37" s="55">
        <f t="shared" si="10"/>
        <v>250</v>
      </c>
      <c r="N37" s="55">
        <f t="shared" si="10"/>
        <v>52</v>
      </c>
      <c r="O37" s="55">
        <f t="shared" si="10"/>
        <v>0</v>
      </c>
      <c r="P37" s="55">
        <f t="shared" si="10"/>
        <v>0</v>
      </c>
      <c r="Q37" s="55">
        <f t="shared" si="10"/>
        <v>0</v>
      </c>
      <c r="R37" s="55">
        <f t="shared" si="10"/>
        <v>0</v>
      </c>
      <c r="S37" s="55">
        <f t="shared" si="10"/>
        <v>0</v>
      </c>
    </row>
    <row r="38" spans="1:19" ht="13.5" customHeight="1">
      <c r="A38" s="542"/>
      <c r="B38" s="492"/>
      <c r="C38" s="124" t="s">
        <v>981</v>
      </c>
      <c r="D38" s="64">
        <v>3773</v>
      </c>
      <c r="E38" s="49">
        <v>3701</v>
      </c>
      <c r="F38" s="58">
        <v>72</v>
      </c>
      <c r="G38" s="49">
        <v>40</v>
      </c>
      <c r="H38" s="49">
        <v>5</v>
      </c>
      <c r="I38" s="49">
        <v>418</v>
      </c>
      <c r="J38" s="59">
        <v>1278</v>
      </c>
      <c r="K38" s="58">
        <v>1169</v>
      </c>
      <c r="L38" s="58">
        <v>603</v>
      </c>
      <c r="M38" s="58">
        <v>250</v>
      </c>
      <c r="N38" s="58">
        <v>50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</row>
    <row r="39" spans="1:19" ht="13.5" customHeight="1">
      <c r="A39" s="542"/>
      <c r="B39" s="493"/>
      <c r="C39" s="235" t="s">
        <v>982</v>
      </c>
      <c r="D39" s="64">
        <v>76</v>
      </c>
      <c r="E39" s="49">
        <v>75</v>
      </c>
      <c r="F39" s="58">
        <v>1</v>
      </c>
      <c r="G39" s="49">
        <v>41</v>
      </c>
      <c r="H39" s="49">
        <v>0</v>
      </c>
      <c r="I39" s="49">
        <v>1</v>
      </c>
      <c r="J39" s="59">
        <v>11</v>
      </c>
      <c r="K39" s="58">
        <v>52</v>
      </c>
      <c r="L39" s="58">
        <v>10</v>
      </c>
      <c r="M39" s="58">
        <v>0</v>
      </c>
      <c r="N39" s="58">
        <v>2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</row>
    <row r="40" spans="1:19" ht="13.5" customHeight="1">
      <c r="A40" s="542"/>
      <c r="B40" s="491" t="s">
        <v>520</v>
      </c>
      <c r="C40" s="234" t="s">
        <v>980</v>
      </c>
      <c r="D40" s="54">
        <f>SUM(D41:D42)</f>
        <v>3213</v>
      </c>
      <c r="E40" s="55">
        <f>SUM(E41:E42)</f>
        <v>3041</v>
      </c>
      <c r="F40" s="55">
        <f>SUM(F41:F42)</f>
        <v>172</v>
      </c>
      <c r="G40" s="55">
        <v>38</v>
      </c>
      <c r="H40" s="55">
        <f>SUM(H41:H42)</f>
        <v>23</v>
      </c>
      <c r="I40" s="55">
        <f aca="true" t="shared" si="11" ref="I40:S40">SUM(I41:I42)</f>
        <v>674</v>
      </c>
      <c r="J40" s="55">
        <f t="shared" si="11"/>
        <v>1173</v>
      </c>
      <c r="K40" s="55">
        <f t="shared" si="11"/>
        <v>945</v>
      </c>
      <c r="L40" s="55">
        <f t="shared" si="11"/>
        <v>301</v>
      </c>
      <c r="M40" s="55">
        <f t="shared" si="11"/>
        <v>82</v>
      </c>
      <c r="N40" s="55">
        <f t="shared" si="11"/>
        <v>13</v>
      </c>
      <c r="O40" s="55">
        <f t="shared" si="11"/>
        <v>2</v>
      </c>
      <c r="P40" s="55">
        <f t="shared" si="11"/>
        <v>0</v>
      </c>
      <c r="Q40" s="55">
        <f t="shared" si="11"/>
        <v>0</v>
      </c>
      <c r="R40" s="55">
        <f t="shared" si="11"/>
        <v>0</v>
      </c>
      <c r="S40" s="55">
        <f t="shared" si="11"/>
        <v>0</v>
      </c>
    </row>
    <row r="41" spans="1:19" ht="13.5" customHeight="1">
      <c r="A41" s="538" t="s">
        <v>455</v>
      </c>
      <c r="B41" s="492"/>
      <c r="C41" s="124" t="s">
        <v>981</v>
      </c>
      <c r="D41" s="64">
        <v>3172</v>
      </c>
      <c r="E41" s="49">
        <v>3000</v>
      </c>
      <c r="F41" s="58">
        <v>172</v>
      </c>
      <c r="G41" s="49">
        <v>38</v>
      </c>
      <c r="H41" s="49">
        <v>23</v>
      </c>
      <c r="I41" s="49">
        <v>671</v>
      </c>
      <c r="J41" s="59">
        <v>1164</v>
      </c>
      <c r="K41" s="58">
        <v>919</v>
      </c>
      <c r="L41" s="58">
        <v>298</v>
      </c>
      <c r="M41" s="58">
        <v>82</v>
      </c>
      <c r="N41" s="58">
        <v>13</v>
      </c>
      <c r="O41" s="58">
        <v>2</v>
      </c>
      <c r="P41" s="58">
        <v>0</v>
      </c>
      <c r="Q41" s="58">
        <v>0</v>
      </c>
      <c r="R41" s="58">
        <v>0</v>
      </c>
      <c r="S41" s="58">
        <v>0</v>
      </c>
    </row>
    <row r="42" spans="1:19" ht="13.5" customHeight="1">
      <c r="A42" s="538"/>
      <c r="B42" s="493"/>
      <c r="C42" s="235" t="s">
        <v>982</v>
      </c>
      <c r="D42" s="64">
        <v>41</v>
      </c>
      <c r="E42" s="49">
        <v>41</v>
      </c>
      <c r="F42" s="58">
        <v>0</v>
      </c>
      <c r="G42" s="49">
        <v>40</v>
      </c>
      <c r="H42" s="49">
        <v>0</v>
      </c>
      <c r="I42" s="49">
        <v>3</v>
      </c>
      <c r="J42" s="59">
        <v>9</v>
      </c>
      <c r="K42" s="58">
        <v>26</v>
      </c>
      <c r="L42" s="58">
        <v>3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</row>
    <row r="43" spans="1:19" s="93" customFormat="1" ht="13.5" customHeight="1">
      <c r="A43" s="538"/>
      <c r="B43" s="491" t="s">
        <v>521</v>
      </c>
      <c r="C43" s="234" t="s">
        <v>980</v>
      </c>
      <c r="D43" s="54">
        <f>SUM(D44:D45)</f>
        <v>2851</v>
      </c>
      <c r="E43" s="55">
        <f>SUM(E44:E45)</f>
        <v>2787</v>
      </c>
      <c r="F43" s="55">
        <f>SUM(F44:F45)</f>
        <v>64</v>
      </c>
      <c r="G43" s="55">
        <v>37</v>
      </c>
      <c r="H43" s="55">
        <f>SUM(H44:H45)</f>
        <v>13</v>
      </c>
      <c r="I43" s="55">
        <f aca="true" t="shared" si="12" ref="I43:S43">SUM(I44:I45)</f>
        <v>798</v>
      </c>
      <c r="J43" s="55">
        <f t="shared" si="12"/>
        <v>1155</v>
      </c>
      <c r="K43" s="55">
        <f t="shared" si="12"/>
        <v>607</v>
      </c>
      <c r="L43" s="55">
        <f t="shared" si="12"/>
        <v>219</v>
      </c>
      <c r="M43" s="55">
        <f t="shared" si="12"/>
        <v>55</v>
      </c>
      <c r="N43" s="55">
        <f t="shared" si="12"/>
        <v>4</v>
      </c>
      <c r="O43" s="55">
        <f t="shared" si="12"/>
        <v>0</v>
      </c>
      <c r="P43" s="55">
        <f t="shared" si="12"/>
        <v>0</v>
      </c>
      <c r="Q43" s="55">
        <f t="shared" si="12"/>
        <v>514</v>
      </c>
      <c r="R43" s="55">
        <f t="shared" si="12"/>
        <v>2337</v>
      </c>
      <c r="S43" s="55">
        <f t="shared" si="12"/>
        <v>0</v>
      </c>
    </row>
    <row r="44" spans="1:19" s="93" customFormat="1" ht="13.5" customHeight="1">
      <c r="A44" s="556"/>
      <c r="B44" s="492"/>
      <c r="C44" s="124" t="s">
        <v>981</v>
      </c>
      <c r="D44" s="64">
        <v>2824</v>
      </c>
      <c r="E44" s="49">
        <v>2760</v>
      </c>
      <c r="F44" s="49">
        <v>64</v>
      </c>
      <c r="G44" s="49">
        <v>37</v>
      </c>
      <c r="H44" s="49">
        <v>13</v>
      </c>
      <c r="I44" s="49">
        <v>793</v>
      </c>
      <c r="J44" s="49">
        <v>1148</v>
      </c>
      <c r="K44" s="49">
        <v>593</v>
      </c>
      <c r="L44" s="49">
        <v>218</v>
      </c>
      <c r="M44" s="49">
        <v>55</v>
      </c>
      <c r="N44" s="49">
        <v>4</v>
      </c>
      <c r="O44" s="49">
        <v>0</v>
      </c>
      <c r="P44" s="49">
        <v>0</v>
      </c>
      <c r="Q44" s="49">
        <v>509</v>
      </c>
      <c r="R44" s="49">
        <v>2315</v>
      </c>
      <c r="S44" s="49">
        <v>0</v>
      </c>
    </row>
    <row r="45" spans="1:19" s="93" customFormat="1" ht="13.5" customHeight="1">
      <c r="A45" s="538"/>
      <c r="B45" s="492"/>
      <c r="C45" s="235" t="s">
        <v>982</v>
      </c>
      <c r="D45" s="64">
        <v>27</v>
      </c>
      <c r="E45" s="49">
        <v>27</v>
      </c>
      <c r="F45" s="49">
        <v>0</v>
      </c>
      <c r="G45" s="49">
        <v>38</v>
      </c>
      <c r="H45" s="49">
        <v>0</v>
      </c>
      <c r="I45" s="49">
        <v>5</v>
      </c>
      <c r="J45" s="49">
        <v>7</v>
      </c>
      <c r="K45" s="49">
        <v>14</v>
      </c>
      <c r="L45" s="49">
        <v>1</v>
      </c>
      <c r="M45" s="49">
        <v>0</v>
      </c>
      <c r="N45" s="49">
        <v>0</v>
      </c>
      <c r="O45" s="49">
        <v>0</v>
      </c>
      <c r="P45" s="49">
        <v>0</v>
      </c>
      <c r="Q45" s="49">
        <v>5</v>
      </c>
      <c r="R45" s="49">
        <v>22</v>
      </c>
      <c r="S45" s="49">
        <v>0</v>
      </c>
    </row>
    <row r="46" spans="1:19" s="93" customFormat="1" ht="13.5" customHeight="1">
      <c r="A46" s="538"/>
      <c r="B46" s="491" t="s">
        <v>522</v>
      </c>
      <c r="C46" s="234" t="s">
        <v>980</v>
      </c>
      <c r="D46" s="54">
        <f>SUM(D47:D48)</f>
        <v>2286</v>
      </c>
      <c r="E46" s="55">
        <f>SUM(E47:E48)</f>
        <v>2095</v>
      </c>
      <c r="F46" s="55">
        <f>SUM(F47:F48)</f>
        <v>191</v>
      </c>
      <c r="G46" s="55">
        <v>37</v>
      </c>
      <c r="H46" s="55">
        <f>SUM(H47:H48)</f>
        <v>17</v>
      </c>
      <c r="I46" s="55">
        <f aca="true" t="shared" si="13" ref="I46:S46">SUM(I47:I48)</f>
        <v>554</v>
      </c>
      <c r="J46" s="55">
        <f t="shared" si="13"/>
        <v>955</v>
      </c>
      <c r="K46" s="55">
        <f t="shared" si="13"/>
        <v>520</v>
      </c>
      <c r="L46" s="55">
        <f t="shared" si="13"/>
        <v>189</v>
      </c>
      <c r="M46" s="55">
        <f t="shared" si="13"/>
        <v>47</v>
      </c>
      <c r="N46" s="55">
        <f t="shared" si="13"/>
        <v>4</v>
      </c>
      <c r="O46" s="55">
        <f t="shared" si="13"/>
        <v>0</v>
      </c>
      <c r="P46" s="55">
        <f t="shared" si="13"/>
        <v>0</v>
      </c>
      <c r="Q46" s="55">
        <f t="shared" si="13"/>
        <v>466</v>
      </c>
      <c r="R46" s="55">
        <f t="shared" si="13"/>
        <v>1820</v>
      </c>
      <c r="S46" s="55">
        <f t="shared" si="13"/>
        <v>0</v>
      </c>
    </row>
    <row r="47" spans="1:19" s="93" customFormat="1" ht="13.5" customHeight="1">
      <c r="A47" s="538"/>
      <c r="B47" s="492"/>
      <c r="C47" s="124" t="s">
        <v>981</v>
      </c>
      <c r="D47" s="64">
        <v>2267</v>
      </c>
      <c r="E47" s="49">
        <v>2076</v>
      </c>
      <c r="F47" s="58">
        <v>191</v>
      </c>
      <c r="G47" s="49">
        <v>37</v>
      </c>
      <c r="H47" s="49">
        <v>17</v>
      </c>
      <c r="I47" s="49">
        <v>551</v>
      </c>
      <c r="J47" s="59">
        <v>946</v>
      </c>
      <c r="K47" s="58">
        <v>517</v>
      </c>
      <c r="L47" s="58">
        <v>185</v>
      </c>
      <c r="M47" s="58">
        <v>47</v>
      </c>
      <c r="N47" s="58">
        <v>4</v>
      </c>
      <c r="O47" s="58">
        <v>0</v>
      </c>
      <c r="P47" s="58">
        <v>0</v>
      </c>
      <c r="Q47" s="58">
        <v>461</v>
      </c>
      <c r="R47" s="58">
        <v>1806</v>
      </c>
      <c r="S47" s="58">
        <v>0</v>
      </c>
    </row>
    <row r="48" spans="1:19" s="93" customFormat="1" ht="13.5" customHeight="1">
      <c r="A48" s="538"/>
      <c r="B48" s="492"/>
      <c r="C48" s="235" t="s">
        <v>982</v>
      </c>
      <c r="D48" s="64">
        <v>19</v>
      </c>
      <c r="E48" s="49">
        <v>19</v>
      </c>
      <c r="F48" s="58">
        <v>0</v>
      </c>
      <c r="G48" s="49">
        <v>39</v>
      </c>
      <c r="H48" s="49">
        <v>0</v>
      </c>
      <c r="I48" s="49">
        <v>3</v>
      </c>
      <c r="J48" s="59">
        <v>9</v>
      </c>
      <c r="K48" s="58">
        <v>3</v>
      </c>
      <c r="L48" s="58">
        <v>4</v>
      </c>
      <c r="M48" s="58">
        <v>0</v>
      </c>
      <c r="N48" s="58">
        <v>0</v>
      </c>
      <c r="O48" s="58">
        <v>0</v>
      </c>
      <c r="P48" s="58">
        <v>0</v>
      </c>
      <c r="Q48" s="58">
        <v>5</v>
      </c>
      <c r="R48" s="58">
        <v>14</v>
      </c>
      <c r="S48" s="58">
        <v>0</v>
      </c>
    </row>
    <row r="49" spans="1:19" ht="15.75">
      <c r="A49" s="249"/>
      <c r="B49" s="248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</row>
    <row r="54" spans="1:19" ht="15.75">
      <c r="A54" s="573" t="str">
        <f>"- "&amp;Sheet1!D34&amp;" -"</f>
        <v>- 224 -</v>
      </c>
      <c r="B54" s="573"/>
      <c r="C54" s="573"/>
      <c r="D54" s="573"/>
      <c r="E54" s="573"/>
      <c r="F54" s="573"/>
      <c r="G54" s="573"/>
      <c r="H54" s="573"/>
      <c r="I54" s="573"/>
      <c r="J54" s="573" t="str">
        <f>"- "&amp;Sheet1!E34&amp;" -"</f>
        <v>- 225 -</v>
      </c>
      <c r="K54" s="573"/>
      <c r="L54" s="573"/>
      <c r="M54" s="573"/>
      <c r="N54" s="573"/>
      <c r="O54" s="573"/>
      <c r="P54" s="573"/>
      <c r="Q54" s="573"/>
      <c r="R54" s="573"/>
      <c r="S54" s="573"/>
    </row>
  </sheetData>
  <sheetProtection/>
  <mergeCells count="32">
    <mergeCell ref="A1:I1"/>
    <mergeCell ref="J1:S1"/>
    <mergeCell ref="P5:S5"/>
    <mergeCell ref="G5:G6"/>
    <mergeCell ref="A5:C6"/>
    <mergeCell ref="D5:D6"/>
    <mergeCell ref="L3:R3"/>
    <mergeCell ref="K5:O5"/>
    <mergeCell ref="F5:F6"/>
    <mergeCell ref="C3:H3"/>
    <mergeCell ref="H5:J5"/>
    <mergeCell ref="E5:E6"/>
    <mergeCell ref="B7:B9"/>
    <mergeCell ref="B34:B36"/>
    <mergeCell ref="B19:B21"/>
    <mergeCell ref="B10:B12"/>
    <mergeCell ref="J54:S54"/>
    <mergeCell ref="B22:B24"/>
    <mergeCell ref="B25:B27"/>
    <mergeCell ref="B28:B30"/>
    <mergeCell ref="A54:I54"/>
    <mergeCell ref="B37:B39"/>
    <mergeCell ref="B40:B42"/>
    <mergeCell ref="A41:A48"/>
    <mergeCell ref="B46:B48"/>
    <mergeCell ref="B43:B45"/>
    <mergeCell ref="A34:A40"/>
    <mergeCell ref="A19:A33"/>
    <mergeCell ref="A7:A18"/>
    <mergeCell ref="B31:B33"/>
    <mergeCell ref="B13:B15"/>
    <mergeCell ref="B16:B18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R54"/>
  <sheetViews>
    <sheetView view="pageLayout" zoomScaleSheetLayoutView="85" workbookViewId="0" topLeftCell="I31">
      <selection activeCell="Q6" sqref="Q6"/>
    </sheetView>
  </sheetViews>
  <sheetFormatPr defaultColWidth="9.00390625" defaultRowHeight="16.5"/>
  <cols>
    <col min="1" max="1" width="6.25390625" style="85" customWidth="1"/>
    <col min="2" max="2" width="10.00390625" style="85" customWidth="1"/>
    <col min="3" max="3" width="8.625" style="85" customWidth="1"/>
    <col min="4" max="4" width="10.875" style="85" customWidth="1"/>
    <col min="5" max="5" width="10.25390625" style="85" customWidth="1"/>
    <col min="6" max="6" width="11.625" style="85" customWidth="1"/>
    <col min="7" max="7" width="8.625" style="85" customWidth="1"/>
    <col min="8" max="8" width="8.875" style="85" customWidth="1"/>
    <col min="9" max="9" width="8.375" style="85" customWidth="1"/>
    <col min="10" max="10" width="9.00390625" style="85" customWidth="1"/>
    <col min="11" max="14" width="8.75390625" style="85" customWidth="1"/>
    <col min="15" max="15" width="8.875" style="85" customWidth="1"/>
    <col min="16" max="16" width="9.00390625" style="85" customWidth="1"/>
    <col min="17" max="17" width="9.625" style="85" customWidth="1"/>
    <col min="18" max="18" width="8.875" style="85" customWidth="1"/>
    <col min="19" max="19" width="9.50390625" style="85" customWidth="1"/>
    <col min="20" max="16384" width="9.00390625" style="85" customWidth="1"/>
  </cols>
  <sheetData>
    <row r="1" spans="1:19" s="98" customFormat="1" ht="21.75" customHeight="1">
      <c r="A1" s="539" t="s">
        <v>587</v>
      </c>
      <c r="B1" s="505"/>
      <c r="C1" s="505"/>
      <c r="D1" s="505"/>
      <c r="E1" s="505"/>
      <c r="F1" s="505"/>
      <c r="G1" s="505"/>
      <c r="H1" s="505"/>
      <c r="I1" s="505"/>
      <c r="J1" s="505" t="s">
        <v>225</v>
      </c>
      <c r="K1" s="505"/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53"/>
      <c r="M2" s="2"/>
      <c r="N2" s="2"/>
      <c r="O2" s="2"/>
      <c r="P2" s="2"/>
      <c r="Q2" s="2"/>
      <c r="R2" s="2"/>
      <c r="S2" s="2"/>
    </row>
    <row r="3" spans="1:19" s="97" customFormat="1" ht="15" customHeight="1">
      <c r="A3" s="16"/>
      <c r="B3" s="16"/>
      <c r="C3" s="460" t="s">
        <v>831</v>
      </c>
      <c r="D3" s="461"/>
      <c r="E3" s="461"/>
      <c r="F3" s="461"/>
      <c r="G3" s="461"/>
      <c r="H3" s="461"/>
      <c r="I3" s="4" t="s">
        <v>698</v>
      </c>
      <c r="K3" s="5"/>
      <c r="L3" s="461" t="s">
        <v>530</v>
      </c>
      <c r="M3" s="461"/>
      <c r="N3" s="461"/>
      <c r="O3" s="461"/>
      <c r="P3" s="461"/>
      <c r="Q3" s="461"/>
      <c r="R3" s="461"/>
      <c r="S3" s="107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31.5" customHeight="1">
      <c r="A5" s="576"/>
      <c r="B5" s="576"/>
      <c r="C5" s="577"/>
      <c r="D5" s="507" t="s">
        <v>974</v>
      </c>
      <c r="E5" s="507" t="s">
        <v>975</v>
      </c>
      <c r="F5" s="507" t="s">
        <v>976</v>
      </c>
      <c r="G5" s="507" t="s">
        <v>977</v>
      </c>
      <c r="H5" s="495" t="s">
        <v>978</v>
      </c>
      <c r="I5" s="496"/>
      <c r="J5" s="496"/>
      <c r="K5" s="574" t="s">
        <v>979</v>
      </c>
      <c r="L5" s="574"/>
      <c r="M5" s="574"/>
      <c r="N5" s="574"/>
      <c r="O5" s="575"/>
      <c r="P5" s="495" t="s">
        <v>764</v>
      </c>
      <c r="Q5" s="496"/>
      <c r="R5" s="496"/>
      <c r="S5" s="496"/>
    </row>
    <row r="6" spans="1:19" s="42" customFormat="1" ht="61.5" customHeight="1">
      <c r="A6" s="578"/>
      <c r="B6" s="578"/>
      <c r="C6" s="579"/>
      <c r="D6" s="512"/>
      <c r="E6" s="512"/>
      <c r="F6" s="513"/>
      <c r="G6" s="508"/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929</v>
      </c>
      <c r="S6" s="120" t="s">
        <v>711</v>
      </c>
    </row>
    <row r="7" spans="1:44" s="93" customFormat="1" ht="13.5" customHeight="1">
      <c r="A7" s="541" t="s">
        <v>454</v>
      </c>
      <c r="B7" s="507" t="s">
        <v>532</v>
      </c>
      <c r="C7" s="234" t="s">
        <v>980</v>
      </c>
      <c r="D7" s="54">
        <f>SUM(D8:D9)</f>
        <v>1848</v>
      </c>
      <c r="E7" s="56">
        <f>SUM(E8:E9)</f>
        <v>1610</v>
      </c>
      <c r="F7" s="55">
        <f>SUM(F8:F9)</f>
        <v>238</v>
      </c>
      <c r="G7" s="55">
        <v>37</v>
      </c>
      <c r="H7" s="55">
        <f>SUM(H8:H9)</f>
        <v>11</v>
      </c>
      <c r="I7" s="55">
        <f aca="true" t="shared" si="0" ref="I7:S7">SUM(I8:I9)</f>
        <v>601</v>
      </c>
      <c r="J7" s="55">
        <f t="shared" si="0"/>
        <v>753</v>
      </c>
      <c r="K7" s="55">
        <f t="shared" si="0"/>
        <v>311</v>
      </c>
      <c r="L7" s="55">
        <f t="shared" si="0"/>
        <v>136</v>
      </c>
      <c r="M7" s="55">
        <f t="shared" si="0"/>
        <v>31</v>
      </c>
      <c r="N7" s="55">
        <f t="shared" si="0"/>
        <v>4</v>
      </c>
      <c r="O7" s="55">
        <f t="shared" si="0"/>
        <v>1</v>
      </c>
      <c r="P7" s="55">
        <f t="shared" si="0"/>
        <v>0</v>
      </c>
      <c r="Q7" s="55">
        <f t="shared" si="0"/>
        <v>633</v>
      </c>
      <c r="R7" s="55">
        <f t="shared" si="0"/>
        <v>1215</v>
      </c>
      <c r="S7" s="55">
        <f t="shared" si="0"/>
        <v>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542"/>
      <c r="B8" s="516"/>
      <c r="C8" s="124" t="s">
        <v>981</v>
      </c>
      <c r="D8" s="64">
        <v>1839</v>
      </c>
      <c r="E8" s="49">
        <v>1601</v>
      </c>
      <c r="F8" s="58">
        <v>238</v>
      </c>
      <c r="G8" s="49">
        <v>37</v>
      </c>
      <c r="H8" s="49">
        <v>11</v>
      </c>
      <c r="I8" s="49">
        <v>596</v>
      </c>
      <c r="J8" s="59">
        <v>751</v>
      </c>
      <c r="K8" s="58">
        <v>309</v>
      </c>
      <c r="L8" s="58">
        <v>136</v>
      </c>
      <c r="M8" s="58">
        <v>31</v>
      </c>
      <c r="N8" s="58">
        <v>4</v>
      </c>
      <c r="O8" s="58">
        <v>1</v>
      </c>
      <c r="P8" s="58">
        <v>0</v>
      </c>
      <c r="Q8" s="58">
        <v>627</v>
      </c>
      <c r="R8" s="58">
        <v>1212</v>
      </c>
      <c r="S8" s="58">
        <v>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542"/>
      <c r="B9" s="517"/>
      <c r="C9" s="235" t="s">
        <v>982</v>
      </c>
      <c r="D9" s="64">
        <v>9</v>
      </c>
      <c r="E9" s="49">
        <v>9</v>
      </c>
      <c r="F9" s="58">
        <v>0</v>
      </c>
      <c r="G9" s="49">
        <v>35</v>
      </c>
      <c r="H9" s="49">
        <v>0</v>
      </c>
      <c r="I9" s="49">
        <v>5</v>
      </c>
      <c r="J9" s="59">
        <v>2</v>
      </c>
      <c r="K9" s="58">
        <v>2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6</v>
      </c>
      <c r="R9" s="58">
        <v>3</v>
      </c>
      <c r="S9" s="58">
        <v>0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542"/>
      <c r="B10" s="494" t="s">
        <v>533</v>
      </c>
      <c r="C10" s="234" t="s">
        <v>980</v>
      </c>
      <c r="D10" s="54">
        <f>SUM(D11:D12)</f>
        <v>1634</v>
      </c>
      <c r="E10" s="55">
        <f>SUM(E11:E12)</f>
        <v>1387</v>
      </c>
      <c r="F10" s="55">
        <f>SUM(F11:F12)</f>
        <v>247</v>
      </c>
      <c r="G10" s="55">
        <v>37</v>
      </c>
      <c r="H10" s="55">
        <f>SUM(H11:H12)</f>
        <v>6</v>
      </c>
      <c r="I10" s="55">
        <f aca="true" t="shared" si="1" ref="I10:S10">SUM(I11:I12)</f>
        <v>459</v>
      </c>
      <c r="J10" s="55">
        <f t="shared" si="1"/>
        <v>664</v>
      </c>
      <c r="K10" s="55">
        <f t="shared" si="1"/>
        <v>347</v>
      </c>
      <c r="L10" s="55">
        <f t="shared" si="1"/>
        <v>126</v>
      </c>
      <c r="M10" s="55">
        <f t="shared" si="1"/>
        <v>28</v>
      </c>
      <c r="N10" s="55">
        <f t="shared" si="1"/>
        <v>4</v>
      </c>
      <c r="O10" s="55">
        <f t="shared" si="1"/>
        <v>0</v>
      </c>
      <c r="P10" s="55">
        <f t="shared" si="1"/>
        <v>0</v>
      </c>
      <c r="Q10" s="55">
        <f t="shared" si="1"/>
        <v>569</v>
      </c>
      <c r="R10" s="55">
        <f t="shared" si="1"/>
        <v>1065</v>
      </c>
      <c r="S10" s="55">
        <f t="shared" si="1"/>
        <v>0</v>
      </c>
    </row>
    <row r="11" spans="1:19" s="93" customFormat="1" ht="13.5" customHeight="1">
      <c r="A11" s="542"/>
      <c r="B11" s="494"/>
      <c r="C11" s="124" t="s">
        <v>981</v>
      </c>
      <c r="D11" s="64">
        <v>1625</v>
      </c>
      <c r="E11" s="49">
        <v>1378</v>
      </c>
      <c r="F11" s="58">
        <v>247</v>
      </c>
      <c r="G11" s="49">
        <v>37</v>
      </c>
      <c r="H11" s="49">
        <v>6</v>
      </c>
      <c r="I11" s="49">
        <v>458</v>
      </c>
      <c r="J11" s="59">
        <v>661</v>
      </c>
      <c r="K11" s="58">
        <v>346</v>
      </c>
      <c r="L11" s="58">
        <v>124</v>
      </c>
      <c r="M11" s="58">
        <v>26</v>
      </c>
      <c r="N11" s="58">
        <v>4</v>
      </c>
      <c r="O11" s="58">
        <v>0</v>
      </c>
      <c r="P11" s="58">
        <v>0</v>
      </c>
      <c r="Q11" s="58">
        <v>565</v>
      </c>
      <c r="R11" s="58">
        <v>1060</v>
      </c>
      <c r="S11" s="58">
        <v>0</v>
      </c>
    </row>
    <row r="12" spans="1:19" s="93" customFormat="1" ht="13.5" customHeight="1">
      <c r="A12" s="542"/>
      <c r="B12" s="494"/>
      <c r="C12" s="235" t="s">
        <v>982</v>
      </c>
      <c r="D12" s="64">
        <v>9</v>
      </c>
      <c r="E12" s="49">
        <v>9</v>
      </c>
      <c r="F12" s="58">
        <v>0</v>
      </c>
      <c r="G12" s="49">
        <v>41</v>
      </c>
      <c r="H12" s="49">
        <v>0</v>
      </c>
      <c r="I12" s="49">
        <v>1</v>
      </c>
      <c r="J12" s="59">
        <v>3</v>
      </c>
      <c r="K12" s="58">
        <v>1</v>
      </c>
      <c r="L12" s="58">
        <v>2</v>
      </c>
      <c r="M12" s="58">
        <v>2</v>
      </c>
      <c r="N12" s="58">
        <v>0</v>
      </c>
      <c r="O12" s="58">
        <v>0</v>
      </c>
      <c r="P12" s="58">
        <v>0</v>
      </c>
      <c r="Q12" s="58">
        <v>4</v>
      </c>
      <c r="R12" s="58">
        <v>5</v>
      </c>
      <c r="S12" s="58">
        <v>0</v>
      </c>
    </row>
    <row r="13" spans="1:19" s="93" customFormat="1" ht="13.5" customHeight="1">
      <c r="A13" s="542"/>
      <c r="B13" s="507" t="s">
        <v>534</v>
      </c>
      <c r="C13" s="234" t="s">
        <v>980</v>
      </c>
      <c r="D13" s="54">
        <f>SUM(D14:D15)</f>
        <v>494</v>
      </c>
      <c r="E13" s="55">
        <f>SUM(E14:E15)</f>
        <v>414</v>
      </c>
      <c r="F13" s="55">
        <f>SUM(F14:F15)</f>
        <v>80</v>
      </c>
      <c r="G13" s="55">
        <v>39</v>
      </c>
      <c r="H13" s="55">
        <f>SUM(H14:H15)</f>
        <v>1</v>
      </c>
      <c r="I13" s="55">
        <f aca="true" t="shared" si="2" ref="I13:S13">SUM(I14:I15)</f>
        <v>96</v>
      </c>
      <c r="J13" s="55">
        <f t="shared" si="2"/>
        <v>180</v>
      </c>
      <c r="K13" s="55">
        <f t="shared" si="2"/>
        <v>137</v>
      </c>
      <c r="L13" s="55">
        <f t="shared" si="2"/>
        <v>61</v>
      </c>
      <c r="M13" s="55">
        <f t="shared" si="2"/>
        <v>16</v>
      </c>
      <c r="N13" s="55">
        <f t="shared" si="2"/>
        <v>3</v>
      </c>
      <c r="O13" s="55">
        <f t="shared" si="2"/>
        <v>0</v>
      </c>
      <c r="P13" s="55">
        <f t="shared" si="2"/>
        <v>0</v>
      </c>
      <c r="Q13" s="55">
        <f t="shared" si="2"/>
        <v>223</v>
      </c>
      <c r="R13" s="55">
        <f t="shared" si="2"/>
        <v>271</v>
      </c>
      <c r="S13" s="55">
        <f t="shared" si="2"/>
        <v>0</v>
      </c>
    </row>
    <row r="14" spans="1:19" s="93" customFormat="1" ht="13.5" customHeight="1">
      <c r="A14" s="564" t="s">
        <v>455</v>
      </c>
      <c r="B14" s="516"/>
      <c r="C14" s="124" t="s">
        <v>981</v>
      </c>
      <c r="D14" s="64">
        <v>494</v>
      </c>
      <c r="E14" s="49">
        <v>414</v>
      </c>
      <c r="F14" s="58">
        <v>80</v>
      </c>
      <c r="G14" s="49">
        <v>39</v>
      </c>
      <c r="H14" s="49">
        <v>1</v>
      </c>
      <c r="I14" s="49">
        <v>96</v>
      </c>
      <c r="J14" s="59">
        <v>180</v>
      </c>
      <c r="K14" s="58">
        <v>137</v>
      </c>
      <c r="L14" s="58">
        <v>61</v>
      </c>
      <c r="M14" s="58">
        <v>16</v>
      </c>
      <c r="N14" s="58">
        <v>3</v>
      </c>
      <c r="O14" s="58">
        <v>0</v>
      </c>
      <c r="P14" s="58">
        <v>0</v>
      </c>
      <c r="Q14" s="58">
        <v>223</v>
      </c>
      <c r="R14" s="58">
        <v>271</v>
      </c>
      <c r="S14" s="58">
        <v>0</v>
      </c>
    </row>
    <row r="15" spans="1:19" s="93" customFormat="1" ht="13.5" customHeight="1">
      <c r="A15" s="564"/>
      <c r="B15" s="517"/>
      <c r="C15" s="235" t="s">
        <v>982</v>
      </c>
      <c r="D15" s="64">
        <v>0</v>
      </c>
      <c r="E15" s="49">
        <v>0</v>
      </c>
      <c r="F15" s="58">
        <v>0</v>
      </c>
      <c r="G15" s="49">
        <v>0</v>
      </c>
      <c r="H15" s="49">
        <v>0</v>
      </c>
      <c r="I15" s="49">
        <v>0</v>
      </c>
      <c r="J15" s="59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</row>
    <row r="16" spans="1:20" s="93" customFormat="1" ht="13.5" customHeight="1">
      <c r="A16" s="564"/>
      <c r="B16" s="507" t="s">
        <v>535</v>
      </c>
      <c r="C16" s="234" t="s">
        <v>980</v>
      </c>
      <c r="D16" s="54">
        <f>SUM(D17:D18)</f>
        <v>455</v>
      </c>
      <c r="E16" s="55">
        <f>SUM(E17:E18)</f>
        <v>386</v>
      </c>
      <c r="F16" s="55">
        <f>SUM(F17:F18)</f>
        <v>69</v>
      </c>
      <c r="G16" s="55">
        <v>39</v>
      </c>
      <c r="H16" s="55">
        <f>SUM(H17:H18)</f>
        <v>0</v>
      </c>
      <c r="I16" s="55">
        <f aca="true" t="shared" si="3" ref="I16:S16">SUM(I17:I18)</f>
        <v>45</v>
      </c>
      <c r="J16" s="55">
        <f t="shared" si="3"/>
        <v>188</v>
      </c>
      <c r="K16" s="55">
        <f t="shared" si="3"/>
        <v>137</v>
      </c>
      <c r="L16" s="55">
        <f t="shared" si="3"/>
        <v>72</v>
      </c>
      <c r="M16" s="55">
        <f t="shared" si="3"/>
        <v>13</v>
      </c>
      <c r="N16" s="55">
        <f t="shared" si="3"/>
        <v>0</v>
      </c>
      <c r="O16" s="55">
        <f t="shared" si="3"/>
        <v>0</v>
      </c>
      <c r="P16" s="55">
        <f t="shared" si="3"/>
        <v>0</v>
      </c>
      <c r="Q16" s="55">
        <f t="shared" si="3"/>
        <v>173</v>
      </c>
      <c r="R16" s="55">
        <f t="shared" si="3"/>
        <v>281</v>
      </c>
      <c r="S16" s="55">
        <f t="shared" si="3"/>
        <v>1</v>
      </c>
      <c r="T16" s="94"/>
    </row>
    <row r="17" spans="1:19" s="93" customFormat="1" ht="13.5" customHeight="1">
      <c r="A17" s="564"/>
      <c r="B17" s="516"/>
      <c r="C17" s="124" t="s">
        <v>981</v>
      </c>
      <c r="D17" s="64">
        <v>455</v>
      </c>
      <c r="E17" s="49">
        <v>386</v>
      </c>
      <c r="F17" s="49">
        <v>69</v>
      </c>
      <c r="G17" s="49">
        <v>39</v>
      </c>
      <c r="H17" s="49">
        <v>0</v>
      </c>
      <c r="I17" s="49">
        <v>45</v>
      </c>
      <c r="J17" s="49">
        <v>188</v>
      </c>
      <c r="K17" s="49">
        <v>137</v>
      </c>
      <c r="L17" s="49">
        <v>72</v>
      </c>
      <c r="M17" s="49">
        <v>13</v>
      </c>
      <c r="N17" s="49">
        <v>0</v>
      </c>
      <c r="O17" s="49">
        <v>0</v>
      </c>
      <c r="P17" s="49">
        <v>0</v>
      </c>
      <c r="Q17" s="49">
        <v>173</v>
      </c>
      <c r="R17" s="49">
        <v>281</v>
      </c>
      <c r="S17" s="49">
        <v>1</v>
      </c>
    </row>
    <row r="18" spans="1:19" s="93" customFormat="1" ht="13.5" customHeight="1">
      <c r="A18" s="564"/>
      <c r="B18" s="517"/>
      <c r="C18" s="235" t="s">
        <v>982</v>
      </c>
      <c r="D18" s="64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</row>
    <row r="19" spans="1:19" s="93" customFormat="1" ht="13.5" customHeight="1">
      <c r="A19" s="564"/>
      <c r="B19" s="507" t="s">
        <v>536</v>
      </c>
      <c r="C19" s="234" t="s">
        <v>980</v>
      </c>
      <c r="D19" s="54">
        <f>SUM(D20:D21)</f>
        <v>1116</v>
      </c>
      <c r="E19" s="55">
        <f>SUM(E20:E21)</f>
        <v>899</v>
      </c>
      <c r="F19" s="55">
        <f>SUM(F20:F21)</f>
        <v>217</v>
      </c>
      <c r="G19" s="55">
        <v>39</v>
      </c>
      <c r="H19" s="55">
        <f>SUM(H20:H21)</f>
        <v>14</v>
      </c>
      <c r="I19" s="55">
        <f aca="true" t="shared" si="4" ref="I19:S19">SUM(I20:I21)</f>
        <v>85</v>
      </c>
      <c r="J19" s="55">
        <f t="shared" si="4"/>
        <v>466</v>
      </c>
      <c r="K19" s="55">
        <f t="shared" si="4"/>
        <v>353</v>
      </c>
      <c r="L19" s="55">
        <f t="shared" si="4"/>
        <v>159</v>
      </c>
      <c r="M19" s="55">
        <f t="shared" si="4"/>
        <v>32</v>
      </c>
      <c r="N19" s="55">
        <f t="shared" si="4"/>
        <v>7</v>
      </c>
      <c r="O19" s="55">
        <f t="shared" si="4"/>
        <v>0</v>
      </c>
      <c r="P19" s="55">
        <f t="shared" si="4"/>
        <v>1</v>
      </c>
      <c r="Q19" s="55">
        <f t="shared" si="4"/>
        <v>408</v>
      </c>
      <c r="R19" s="55">
        <f t="shared" si="4"/>
        <v>702</v>
      </c>
      <c r="S19" s="55">
        <f t="shared" si="4"/>
        <v>5</v>
      </c>
    </row>
    <row r="20" spans="1:19" s="93" customFormat="1" ht="13.5" customHeight="1">
      <c r="A20" s="564"/>
      <c r="B20" s="516"/>
      <c r="C20" s="124" t="s">
        <v>981</v>
      </c>
      <c r="D20" s="64">
        <v>1112</v>
      </c>
      <c r="E20" s="49">
        <v>897</v>
      </c>
      <c r="F20" s="59">
        <v>215</v>
      </c>
      <c r="G20" s="58">
        <v>39</v>
      </c>
      <c r="H20" s="58">
        <v>14</v>
      </c>
      <c r="I20" s="58">
        <v>85</v>
      </c>
      <c r="J20" s="58">
        <v>465</v>
      </c>
      <c r="K20" s="58">
        <v>352</v>
      </c>
      <c r="L20" s="58">
        <v>158</v>
      </c>
      <c r="M20" s="58">
        <v>31</v>
      </c>
      <c r="N20" s="58">
        <v>7</v>
      </c>
      <c r="O20" s="58">
        <v>0</v>
      </c>
      <c r="P20" s="59">
        <v>1</v>
      </c>
      <c r="Q20" s="59">
        <v>407</v>
      </c>
      <c r="R20" s="59">
        <v>699</v>
      </c>
      <c r="S20" s="59">
        <v>5</v>
      </c>
    </row>
    <row r="21" spans="1:19" s="93" customFormat="1" ht="13.5" customHeight="1">
      <c r="A21" s="564"/>
      <c r="B21" s="517"/>
      <c r="C21" s="235" t="s">
        <v>982</v>
      </c>
      <c r="D21" s="64">
        <v>4</v>
      </c>
      <c r="E21" s="49">
        <v>2</v>
      </c>
      <c r="F21" s="59">
        <v>2</v>
      </c>
      <c r="G21" s="58">
        <v>44</v>
      </c>
      <c r="H21" s="58">
        <v>0</v>
      </c>
      <c r="I21" s="58">
        <v>0</v>
      </c>
      <c r="J21" s="58">
        <v>1</v>
      </c>
      <c r="K21" s="58">
        <v>1</v>
      </c>
      <c r="L21" s="58">
        <v>1</v>
      </c>
      <c r="M21" s="58">
        <v>1</v>
      </c>
      <c r="N21" s="58">
        <v>0</v>
      </c>
      <c r="O21" s="58">
        <v>0</v>
      </c>
      <c r="P21" s="59">
        <v>0</v>
      </c>
      <c r="Q21" s="59">
        <v>1</v>
      </c>
      <c r="R21" s="59">
        <v>3</v>
      </c>
      <c r="S21" s="59">
        <v>0</v>
      </c>
    </row>
    <row r="22" spans="1:19" s="93" customFormat="1" ht="13.5" customHeight="1">
      <c r="A22" s="564"/>
      <c r="B22" s="516" t="s">
        <v>537</v>
      </c>
      <c r="C22" s="234" t="s">
        <v>980</v>
      </c>
      <c r="D22" s="54">
        <f>SUM(D23:D24)</f>
        <v>1301</v>
      </c>
      <c r="E22" s="55">
        <f>SUM(E23:E24)</f>
        <v>1118</v>
      </c>
      <c r="F22" s="55">
        <f>SUM(F23:F24)</f>
        <v>183</v>
      </c>
      <c r="G22" s="55">
        <v>40</v>
      </c>
      <c r="H22" s="55">
        <f>SUM(H23:H24)</f>
        <v>16</v>
      </c>
      <c r="I22" s="55">
        <f aca="true" t="shared" si="5" ref="I22:S22">SUM(I23:I24)</f>
        <v>70</v>
      </c>
      <c r="J22" s="55">
        <f t="shared" si="5"/>
        <v>482</v>
      </c>
      <c r="K22" s="55">
        <f t="shared" si="5"/>
        <v>501</v>
      </c>
      <c r="L22" s="55">
        <f t="shared" si="5"/>
        <v>195</v>
      </c>
      <c r="M22" s="55">
        <f t="shared" si="5"/>
        <v>36</v>
      </c>
      <c r="N22" s="55">
        <f t="shared" si="5"/>
        <v>1</v>
      </c>
      <c r="O22" s="55">
        <f t="shared" si="5"/>
        <v>0</v>
      </c>
      <c r="P22" s="55">
        <f t="shared" si="5"/>
        <v>0</v>
      </c>
      <c r="Q22" s="55">
        <f t="shared" si="5"/>
        <v>1072</v>
      </c>
      <c r="R22" s="55">
        <f t="shared" si="5"/>
        <v>229</v>
      </c>
      <c r="S22" s="55">
        <f t="shared" si="5"/>
        <v>0</v>
      </c>
    </row>
    <row r="23" spans="1:19" s="93" customFormat="1" ht="13.5" customHeight="1">
      <c r="A23" s="564"/>
      <c r="B23" s="516"/>
      <c r="C23" s="124" t="s">
        <v>981</v>
      </c>
      <c r="D23" s="64">
        <v>1295</v>
      </c>
      <c r="E23" s="49">
        <v>1112</v>
      </c>
      <c r="F23" s="58">
        <v>183</v>
      </c>
      <c r="G23" s="49">
        <v>40</v>
      </c>
      <c r="H23" s="49">
        <v>16</v>
      </c>
      <c r="I23" s="49">
        <v>70</v>
      </c>
      <c r="J23" s="59">
        <v>482</v>
      </c>
      <c r="K23" s="58">
        <v>496</v>
      </c>
      <c r="L23" s="58">
        <v>195</v>
      </c>
      <c r="M23" s="58">
        <v>35</v>
      </c>
      <c r="N23" s="58">
        <v>1</v>
      </c>
      <c r="O23" s="58">
        <v>0</v>
      </c>
      <c r="P23" s="58">
        <v>0</v>
      </c>
      <c r="Q23" s="58">
        <v>1066</v>
      </c>
      <c r="R23" s="58">
        <v>229</v>
      </c>
      <c r="S23" s="58">
        <v>0</v>
      </c>
    </row>
    <row r="24" spans="1:19" s="93" customFormat="1" ht="13.5" customHeight="1">
      <c r="A24" s="564"/>
      <c r="B24" s="517"/>
      <c r="C24" s="235" t="s">
        <v>982</v>
      </c>
      <c r="D24" s="64">
        <v>6</v>
      </c>
      <c r="E24" s="49">
        <v>6</v>
      </c>
      <c r="F24" s="58">
        <v>0</v>
      </c>
      <c r="G24" s="49">
        <v>43</v>
      </c>
      <c r="H24" s="49">
        <v>0</v>
      </c>
      <c r="I24" s="49">
        <v>0</v>
      </c>
      <c r="J24" s="59">
        <v>0</v>
      </c>
      <c r="K24" s="58">
        <v>5</v>
      </c>
      <c r="L24" s="58">
        <v>0</v>
      </c>
      <c r="M24" s="58">
        <v>1</v>
      </c>
      <c r="N24" s="58">
        <v>0</v>
      </c>
      <c r="O24" s="58">
        <v>0</v>
      </c>
      <c r="P24" s="58">
        <v>0</v>
      </c>
      <c r="Q24" s="58">
        <v>6</v>
      </c>
      <c r="R24" s="58">
        <v>0</v>
      </c>
      <c r="S24" s="58">
        <v>0</v>
      </c>
    </row>
    <row r="25" spans="1:19" s="93" customFormat="1" ht="13.5" customHeight="1">
      <c r="A25" s="541" t="s">
        <v>588</v>
      </c>
      <c r="B25" s="536" t="s">
        <v>581</v>
      </c>
      <c r="C25" s="234" t="s">
        <v>980</v>
      </c>
      <c r="D25" s="140">
        <f>SUM(D28,D31,D34,D37,D40,D43,D46,'表33(續完)'!D7,'表33(續完)'!D10,'表33(續完)'!D13)</f>
        <v>2714</v>
      </c>
      <c r="E25" s="56">
        <f>SUM(E28,E31,E34,E37,E40,E43,E46,'表33(續完)'!E7,'表33(續完)'!E10,'表33(續完)'!E13)</f>
        <v>2577</v>
      </c>
      <c r="F25" s="56">
        <f>SUM(F28,F31,F34,F37,F40,F43,F46,'表33(續完)'!F7,'表33(續完)'!F10,'表33(續完)'!F13)</f>
        <v>137</v>
      </c>
      <c r="G25" s="56">
        <v>52</v>
      </c>
      <c r="H25" s="56">
        <f>SUM(H28,H31,H34,H37,H40,H43,H46,'表33(續完)'!H7,'表33(續完)'!H10,'表33(續完)'!H13)</f>
        <v>0</v>
      </c>
      <c r="I25" s="56">
        <f>SUM(I28,I31,I34,I37,I40,I43,I46,'表33(續完)'!I7,'表33(續完)'!I10,'表33(續完)'!I13)</f>
        <v>0</v>
      </c>
      <c r="J25" s="56">
        <f>SUM(J28,J31,J34,J37,J40,J43,J46,'表33(續完)'!J7,'表33(續完)'!J10,'表33(續完)'!J13)</f>
        <v>1</v>
      </c>
      <c r="K25" s="56">
        <f>SUM(K28,K31,K34,K37,K40,K43,K46,'表33(續完)'!K7,'表33(續完)'!K10,'表33(續完)'!K13)</f>
        <v>61</v>
      </c>
      <c r="L25" s="56">
        <f>SUM(L28,L31,L34,L37,L40,L43,L46,'表33(續完)'!L7,'表33(續完)'!L10,'表33(續完)'!L13)</f>
        <v>752</v>
      </c>
      <c r="M25" s="56">
        <f>SUM(M28,M31,M34,M37,M40,M43,M46,'表33(續完)'!M7,'表33(續完)'!M10,'表33(續完)'!M13)</f>
        <v>1121</v>
      </c>
      <c r="N25" s="56">
        <f>SUM(N28,N31,N34,N37,N40,N43,N46,'表33(續完)'!N7,'表33(續完)'!N10,'表33(續完)'!N13)</f>
        <v>618</v>
      </c>
      <c r="O25" s="56">
        <f>SUM(O28,O31,O34,O37,O40,O43,O46,'表33(續完)'!O7,'表33(續完)'!O10,'表33(續完)'!O13)</f>
        <v>161</v>
      </c>
      <c r="P25" s="56">
        <f>SUM(P28,P31,P34,P37,P40,P43,P46,'表33(續完)'!P7,'表33(續完)'!P10,'表33(續完)'!P13)</f>
        <v>3</v>
      </c>
      <c r="Q25" s="56">
        <f>SUM(Q28,Q31,Q34,Q37,Q40,Q43,Q46,'表33(續完)'!Q7,'表33(續完)'!Q10,'表33(續完)'!Q13)</f>
        <v>895</v>
      </c>
      <c r="R25" s="56">
        <f>SUM(R28,R31,R34,R37,R40,R43,R46,'表33(續完)'!R7,'表33(續完)'!R10,'表33(續完)'!R13)</f>
        <v>417</v>
      </c>
      <c r="S25" s="56">
        <f>SUM(S28,S31,S34,S37,S40,S43,S46,'表33(續完)'!S7,'表33(續完)'!S10,'表33(續完)'!S13)</f>
        <v>144</v>
      </c>
    </row>
    <row r="26" spans="1:19" s="93" customFormat="1" ht="13.5" customHeight="1">
      <c r="A26" s="542"/>
      <c r="B26" s="492"/>
      <c r="C26" s="124" t="s">
        <v>981</v>
      </c>
      <c r="D26" s="24">
        <f>SUM(D29,D32,D35,D38,D41,D44,D47,'表33(續完)'!D8,'表33(續完)'!D11,'表33(續完)'!D14)</f>
        <v>2170</v>
      </c>
      <c r="E26" s="10">
        <f>SUM(E29,E32,E35,E38,E41,E44,E47,'表33(續完)'!E8,'表33(續完)'!E11,'表33(續完)'!E14)</f>
        <v>2042</v>
      </c>
      <c r="F26" s="10">
        <f>SUM(F29,F32,F35,F38,F41,F44,F47,'表33(續完)'!F8,'表33(續完)'!F11,'表33(續完)'!F14)</f>
        <v>128</v>
      </c>
      <c r="G26" s="10">
        <v>52</v>
      </c>
      <c r="H26" s="10">
        <f>SUM(H29,H32,H35,H38,H41,H44,H47,'表33(續完)'!H8,'表33(續完)'!H11,'表33(續完)'!H14)</f>
        <v>0</v>
      </c>
      <c r="I26" s="10">
        <f>SUM(I29,I32,I35,I38,I41,I44,I47,'表33(續完)'!I8,'表33(續完)'!I11,'表33(續完)'!I14)</f>
        <v>0</v>
      </c>
      <c r="J26" s="10">
        <f>SUM(J29,J32,J35,J38,J41,J44,J47,'表33(續完)'!J8,'表33(續完)'!J11,'表33(續完)'!J14)</f>
        <v>0</v>
      </c>
      <c r="K26" s="10">
        <f>SUM(K29,K32,K35,K38,K41,K44,K47,'表33(續完)'!K8,'表33(續完)'!K11,'表33(續完)'!K14)</f>
        <v>48</v>
      </c>
      <c r="L26" s="10">
        <f>SUM(L29,L32,L35,L38,L41,L44,L47,'表33(續完)'!L8,'表33(續完)'!L11,'表33(續完)'!L14)</f>
        <v>620</v>
      </c>
      <c r="M26" s="10">
        <f>SUM(M29,M32,M35,M38,M41,M44,M47,'表33(續完)'!M8,'表33(續完)'!M11,'表33(續完)'!M14)</f>
        <v>850</v>
      </c>
      <c r="N26" s="10">
        <f>SUM(N29,N32,N35,N38,N41,N44,N47,'表33(續完)'!N8,'表33(續完)'!N11,'表33(續完)'!N14)</f>
        <v>519</v>
      </c>
      <c r="O26" s="10">
        <f>SUM(O29,O32,O35,O38,O41,O44,O47,'表33(續完)'!O8,'表33(續完)'!O11,'表33(續完)'!O14)</f>
        <v>133</v>
      </c>
      <c r="P26" s="10">
        <f>SUM(P29,P32,P35,P38,P41,P44,P47,'表33(續完)'!P8,'表33(續完)'!P11,'表33(續完)'!P14)</f>
        <v>1</v>
      </c>
      <c r="Q26" s="10">
        <f>SUM(Q29,Q32,Q35,Q38,Q41,Q44,Q47,'表33(續完)'!Q8,'表33(續完)'!Q11,'表33(續完)'!Q14)</f>
        <v>673</v>
      </c>
      <c r="R26" s="10">
        <f>SUM(R29,R32,R35,R38,R41,R44,R47,'表33(續完)'!R8,'表33(續完)'!R11,'表33(續完)'!R14)</f>
        <v>356</v>
      </c>
      <c r="S26" s="10">
        <f>SUM(S29,S32,S35,S38,S41,S44,S47,'表33(續完)'!S8,'表33(續完)'!S11,'表33(續完)'!S14)</f>
        <v>120</v>
      </c>
    </row>
    <row r="27" spans="1:19" s="93" customFormat="1" ht="13.5" customHeight="1">
      <c r="A27" s="542"/>
      <c r="B27" s="493"/>
      <c r="C27" s="235" t="s">
        <v>982</v>
      </c>
      <c r="D27" s="24">
        <f>SUM(D30,D33,D36,D39,D42,D45,D48,'表33(續完)'!D9,'表33(續完)'!D12,'表33(續完)'!D15)</f>
        <v>544</v>
      </c>
      <c r="E27" s="10">
        <f>SUM(E30,E33,E36,E39,E42,E45,E48,'表33(續完)'!E9,'表33(續完)'!E12,'表33(續完)'!E15)</f>
        <v>535</v>
      </c>
      <c r="F27" s="10">
        <f>SUM(F30,F33,F36,F39,F42,F45,F48,'表33(續完)'!F9,'表33(續完)'!F12,'表33(續完)'!F15)</f>
        <v>9</v>
      </c>
      <c r="G27" s="10">
        <v>52</v>
      </c>
      <c r="H27" s="10">
        <f>SUM(H30,H33,H36,H39,H42,H45,H48,'表33(續完)'!H9,'表33(續完)'!H12,'表33(續完)'!H15)</f>
        <v>0</v>
      </c>
      <c r="I27" s="10">
        <f>SUM(I30,I33,I36,I39,I42,I45,I48,'表33(續完)'!I9,'表33(續完)'!I12,'表33(續完)'!I15)</f>
        <v>0</v>
      </c>
      <c r="J27" s="10">
        <f>SUM(J30,J33,J36,J39,J42,J45,J48,'表33(續完)'!J9,'表33(續完)'!J12,'表33(續完)'!J15)</f>
        <v>1</v>
      </c>
      <c r="K27" s="10">
        <f>SUM(K30,K33,K36,K39,K42,K45,K48,'表33(續完)'!K9,'表33(續完)'!K12,'表33(續完)'!K15)</f>
        <v>13</v>
      </c>
      <c r="L27" s="10">
        <f>SUM(L30,L33,L36,L39,L42,L45,L48,'表33(續完)'!L9,'表33(續完)'!L12,'表33(續完)'!L15)</f>
        <v>132</v>
      </c>
      <c r="M27" s="10">
        <f>SUM(M30,M33,M36,M39,M42,M45,M48,'表33(續完)'!M9,'表33(續完)'!M12,'表33(續完)'!M15)</f>
        <v>271</v>
      </c>
      <c r="N27" s="10">
        <f>SUM(N30,N33,N36,N39,N42,N45,N48,'表33(續完)'!N9,'表33(續完)'!N12,'表33(續完)'!N15)</f>
        <v>99</v>
      </c>
      <c r="O27" s="10">
        <f>SUM(O30,O33,O36,O39,O42,O45,O48,'表33(續完)'!O9,'表33(續完)'!O12,'表33(續完)'!O15)</f>
        <v>28</v>
      </c>
      <c r="P27" s="10">
        <f>SUM(P30,P33,P36,P39,P42,P45,P48,'表33(續完)'!P9,'表33(續完)'!P12,'表33(續完)'!P15)</f>
        <v>2</v>
      </c>
      <c r="Q27" s="10">
        <f>SUM(Q30,Q33,Q36,Q39,Q42,Q45,Q48,'表33(續完)'!Q9,'表33(續完)'!Q12,'表33(續完)'!Q15)</f>
        <v>222</v>
      </c>
      <c r="R27" s="10">
        <f>SUM(R30,R33,R36,R39,R42,R45,R48,'表33(續完)'!R9,'表33(續完)'!R12,'表33(續完)'!R15)</f>
        <v>61</v>
      </c>
      <c r="S27" s="10">
        <f>SUM(S30,S33,S36,S39,S42,S45,S48,'表33(續完)'!S9,'表33(續完)'!S12,'表33(續完)'!S15)</f>
        <v>24</v>
      </c>
    </row>
    <row r="28" spans="1:19" s="93" customFormat="1" ht="13.5" customHeight="1">
      <c r="A28" s="542"/>
      <c r="B28" s="491" t="s">
        <v>519</v>
      </c>
      <c r="C28" s="234" t="s">
        <v>980</v>
      </c>
      <c r="D28" s="54">
        <f>SUM(D29:D30)</f>
        <v>664</v>
      </c>
      <c r="E28" s="55">
        <f>SUM(E29:E30)</f>
        <v>657</v>
      </c>
      <c r="F28" s="55">
        <f>SUM(F29:F30)</f>
        <v>7</v>
      </c>
      <c r="G28" s="55">
        <v>51</v>
      </c>
      <c r="H28" s="55">
        <f>SUM(H29:H30)</f>
        <v>0</v>
      </c>
      <c r="I28" s="55">
        <f aca="true" t="shared" si="6" ref="I28:S28">SUM(I29:I30)</f>
        <v>0</v>
      </c>
      <c r="J28" s="55">
        <f t="shared" si="6"/>
        <v>0</v>
      </c>
      <c r="K28" s="55">
        <f t="shared" si="6"/>
        <v>26</v>
      </c>
      <c r="L28" s="55">
        <f t="shared" si="6"/>
        <v>216</v>
      </c>
      <c r="M28" s="55">
        <f t="shared" si="6"/>
        <v>270</v>
      </c>
      <c r="N28" s="55">
        <f t="shared" si="6"/>
        <v>104</v>
      </c>
      <c r="O28" s="55">
        <f t="shared" si="6"/>
        <v>48</v>
      </c>
      <c r="P28" s="55">
        <f t="shared" si="6"/>
        <v>0</v>
      </c>
      <c r="Q28" s="55">
        <f t="shared" si="6"/>
        <v>0</v>
      </c>
      <c r="R28" s="55">
        <f t="shared" si="6"/>
        <v>0</v>
      </c>
      <c r="S28" s="55">
        <f t="shared" si="6"/>
        <v>0</v>
      </c>
    </row>
    <row r="29" spans="1:20" s="93" customFormat="1" ht="13.5" customHeight="1">
      <c r="A29" s="542"/>
      <c r="B29" s="492"/>
      <c r="C29" s="124" t="s">
        <v>981</v>
      </c>
      <c r="D29" s="24">
        <v>539</v>
      </c>
      <c r="E29" s="10">
        <v>532</v>
      </c>
      <c r="F29" s="10">
        <v>7</v>
      </c>
      <c r="G29" s="10">
        <v>51</v>
      </c>
      <c r="H29" s="10">
        <v>0</v>
      </c>
      <c r="I29" s="10">
        <v>0</v>
      </c>
      <c r="J29" s="10">
        <v>0</v>
      </c>
      <c r="K29" s="10">
        <v>23</v>
      </c>
      <c r="L29" s="10">
        <v>187</v>
      </c>
      <c r="M29" s="10">
        <v>207</v>
      </c>
      <c r="N29" s="10">
        <v>85</v>
      </c>
      <c r="O29" s="10">
        <v>37</v>
      </c>
      <c r="P29" s="10">
        <v>0</v>
      </c>
      <c r="Q29" s="10">
        <v>0</v>
      </c>
      <c r="R29" s="10">
        <v>0</v>
      </c>
      <c r="S29" s="10">
        <v>0</v>
      </c>
      <c r="T29" s="94"/>
    </row>
    <row r="30" spans="1:20" s="93" customFormat="1" ht="13.5" customHeight="1">
      <c r="A30" s="542"/>
      <c r="B30" s="493"/>
      <c r="C30" s="235" t="s">
        <v>982</v>
      </c>
      <c r="D30" s="24">
        <v>125</v>
      </c>
      <c r="E30" s="10">
        <v>125</v>
      </c>
      <c r="F30" s="10">
        <v>0</v>
      </c>
      <c r="G30" s="10">
        <v>51</v>
      </c>
      <c r="H30" s="10">
        <v>0</v>
      </c>
      <c r="I30" s="10">
        <v>0</v>
      </c>
      <c r="J30" s="10">
        <v>0</v>
      </c>
      <c r="K30" s="10">
        <v>3</v>
      </c>
      <c r="L30" s="10">
        <v>29</v>
      </c>
      <c r="M30" s="10">
        <v>63</v>
      </c>
      <c r="N30" s="10">
        <v>19</v>
      </c>
      <c r="O30" s="10">
        <v>11</v>
      </c>
      <c r="P30" s="10">
        <v>0</v>
      </c>
      <c r="Q30" s="10">
        <v>0</v>
      </c>
      <c r="R30" s="10">
        <v>0</v>
      </c>
      <c r="S30" s="10">
        <v>0</v>
      </c>
      <c r="T30" s="94"/>
    </row>
    <row r="31" spans="1:19" s="93" customFormat="1" ht="13.5" customHeight="1">
      <c r="A31" s="542"/>
      <c r="B31" s="507" t="s">
        <v>520</v>
      </c>
      <c r="C31" s="234" t="s">
        <v>980</v>
      </c>
      <c r="D31" s="54">
        <f>SUM(D32:D33)</f>
        <v>591</v>
      </c>
      <c r="E31" s="55">
        <f>SUM(E32:E33)</f>
        <v>571</v>
      </c>
      <c r="F31" s="55">
        <f>SUM(F32:F33)</f>
        <v>20</v>
      </c>
      <c r="G31" s="55">
        <v>51</v>
      </c>
      <c r="H31" s="55">
        <f>SUM(H32:H33)</f>
        <v>0</v>
      </c>
      <c r="I31" s="55">
        <f aca="true" t="shared" si="7" ref="I31:S31">SUM(I32:I33)</f>
        <v>0</v>
      </c>
      <c r="J31" s="55">
        <f t="shared" si="7"/>
        <v>0</v>
      </c>
      <c r="K31" s="55">
        <f t="shared" si="7"/>
        <v>14</v>
      </c>
      <c r="L31" s="55">
        <f t="shared" si="7"/>
        <v>224</v>
      </c>
      <c r="M31" s="55">
        <f t="shared" si="7"/>
        <v>233</v>
      </c>
      <c r="N31" s="55">
        <f t="shared" si="7"/>
        <v>97</v>
      </c>
      <c r="O31" s="55">
        <f t="shared" si="7"/>
        <v>23</v>
      </c>
      <c r="P31" s="55">
        <f t="shared" si="7"/>
        <v>0</v>
      </c>
      <c r="Q31" s="55">
        <f t="shared" si="7"/>
        <v>0</v>
      </c>
      <c r="R31" s="55">
        <f t="shared" si="7"/>
        <v>0</v>
      </c>
      <c r="S31" s="55">
        <f t="shared" si="7"/>
        <v>0</v>
      </c>
    </row>
    <row r="32" spans="1:20" s="93" customFormat="1" ht="13.5" customHeight="1">
      <c r="A32" s="542"/>
      <c r="B32" s="516"/>
      <c r="C32" s="124" t="s">
        <v>981</v>
      </c>
      <c r="D32" s="24">
        <v>481</v>
      </c>
      <c r="E32" s="10">
        <v>462</v>
      </c>
      <c r="F32" s="10">
        <v>19</v>
      </c>
      <c r="G32" s="10">
        <v>51</v>
      </c>
      <c r="H32" s="10">
        <v>0</v>
      </c>
      <c r="I32" s="10">
        <v>0</v>
      </c>
      <c r="J32" s="10">
        <v>0</v>
      </c>
      <c r="K32" s="10">
        <v>8</v>
      </c>
      <c r="L32" s="10">
        <v>192</v>
      </c>
      <c r="M32" s="10">
        <v>179</v>
      </c>
      <c r="N32" s="10">
        <v>85</v>
      </c>
      <c r="O32" s="10">
        <v>17</v>
      </c>
      <c r="P32" s="10">
        <v>0</v>
      </c>
      <c r="Q32" s="10">
        <v>0</v>
      </c>
      <c r="R32" s="10">
        <v>0</v>
      </c>
      <c r="S32" s="10">
        <v>0</v>
      </c>
      <c r="T32" s="94"/>
    </row>
    <row r="33" spans="1:20" s="93" customFormat="1" ht="13.5" customHeight="1">
      <c r="A33" s="542"/>
      <c r="B33" s="517"/>
      <c r="C33" s="124" t="s">
        <v>982</v>
      </c>
      <c r="D33" s="24">
        <v>110</v>
      </c>
      <c r="E33" s="10">
        <v>109</v>
      </c>
      <c r="F33" s="10">
        <v>1</v>
      </c>
      <c r="G33" s="10">
        <v>51</v>
      </c>
      <c r="H33" s="10">
        <v>0</v>
      </c>
      <c r="I33" s="10">
        <v>0</v>
      </c>
      <c r="J33" s="10">
        <v>0</v>
      </c>
      <c r="K33" s="10">
        <v>6</v>
      </c>
      <c r="L33" s="10">
        <v>32</v>
      </c>
      <c r="M33" s="10">
        <v>54</v>
      </c>
      <c r="N33" s="10">
        <v>12</v>
      </c>
      <c r="O33" s="10">
        <v>6</v>
      </c>
      <c r="P33" s="10">
        <v>0</v>
      </c>
      <c r="Q33" s="10">
        <v>0</v>
      </c>
      <c r="R33" s="10">
        <v>0</v>
      </c>
      <c r="S33" s="10">
        <v>0</v>
      </c>
      <c r="T33" s="94"/>
    </row>
    <row r="34" spans="1:19" ht="13.5" customHeight="1">
      <c r="A34" s="542"/>
      <c r="B34" s="507" t="s">
        <v>521</v>
      </c>
      <c r="C34" s="234" t="s">
        <v>980</v>
      </c>
      <c r="D34" s="54">
        <f>SUM(D35:D36)</f>
        <v>510</v>
      </c>
      <c r="E34" s="55">
        <f>SUM(E35:E36)</f>
        <v>498</v>
      </c>
      <c r="F34" s="55">
        <f>SUM(F35:F36)</f>
        <v>12</v>
      </c>
      <c r="G34" s="55">
        <v>50</v>
      </c>
      <c r="H34" s="55">
        <f>SUM(H35:H36)</f>
        <v>0</v>
      </c>
      <c r="I34" s="55">
        <f aca="true" t="shared" si="8" ref="I34:S34">SUM(I35:I36)</f>
        <v>0</v>
      </c>
      <c r="J34" s="55">
        <f t="shared" si="8"/>
        <v>0</v>
      </c>
      <c r="K34" s="55">
        <f t="shared" si="8"/>
        <v>18</v>
      </c>
      <c r="L34" s="55">
        <f t="shared" si="8"/>
        <v>199</v>
      </c>
      <c r="M34" s="55">
        <f t="shared" si="8"/>
        <v>200</v>
      </c>
      <c r="N34" s="55">
        <f t="shared" si="8"/>
        <v>77</v>
      </c>
      <c r="O34" s="55">
        <f t="shared" si="8"/>
        <v>16</v>
      </c>
      <c r="P34" s="55">
        <f t="shared" si="8"/>
        <v>1</v>
      </c>
      <c r="Q34" s="55">
        <f t="shared" si="8"/>
        <v>398</v>
      </c>
      <c r="R34" s="55">
        <f t="shared" si="8"/>
        <v>88</v>
      </c>
      <c r="S34" s="55">
        <f t="shared" si="8"/>
        <v>23</v>
      </c>
    </row>
    <row r="35" spans="1:19" ht="13.5" customHeight="1">
      <c r="A35" s="542"/>
      <c r="B35" s="516"/>
      <c r="C35" s="124" t="s">
        <v>981</v>
      </c>
      <c r="D35" s="24">
        <v>438</v>
      </c>
      <c r="E35" s="10">
        <v>426</v>
      </c>
      <c r="F35" s="10">
        <v>12</v>
      </c>
      <c r="G35" s="10">
        <v>50</v>
      </c>
      <c r="H35" s="10">
        <v>0</v>
      </c>
      <c r="I35" s="10">
        <v>0</v>
      </c>
      <c r="J35" s="10">
        <v>0</v>
      </c>
      <c r="K35" s="10">
        <v>14</v>
      </c>
      <c r="L35" s="10">
        <v>181</v>
      </c>
      <c r="M35" s="10">
        <v>161</v>
      </c>
      <c r="N35" s="10">
        <v>67</v>
      </c>
      <c r="O35" s="10">
        <v>15</v>
      </c>
      <c r="P35" s="10">
        <v>1</v>
      </c>
      <c r="Q35" s="10">
        <v>339</v>
      </c>
      <c r="R35" s="10">
        <v>76</v>
      </c>
      <c r="S35" s="10">
        <v>22</v>
      </c>
    </row>
    <row r="36" spans="1:19" ht="13.5" customHeight="1">
      <c r="A36" s="564" t="s">
        <v>589</v>
      </c>
      <c r="B36" s="517"/>
      <c r="C36" s="235" t="s">
        <v>982</v>
      </c>
      <c r="D36" s="24">
        <v>72</v>
      </c>
      <c r="E36" s="10">
        <v>72</v>
      </c>
      <c r="F36" s="10">
        <v>0</v>
      </c>
      <c r="G36" s="10">
        <v>51</v>
      </c>
      <c r="H36" s="10">
        <v>0</v>
      </c>
      <c r="I36" s="10">
        <v>0</v>
      </c>
      <c r="J36" s="10">
        <v>0</v>
      </c>
      <c r="K36" s="10">
        <v>4</v>
      </c>
      <c r="L36" s="10">
        <v>18</v>
      </c>
      <c r="M36" s="10">
        <v>39</v>
      </c>
      <c r="N36" s="10">
        <v>10</v>
      </c>
      <c r="O36" s="10">
        <v>1</v>
      </c>
      <c r="P36" s="10">
        <v>0</v>
      </c>
      <c r="Q36" s="10">
        <v>59</v>
      </c>
      <c r="R36" s="10">
        <v>12</v>
      </c>
      <c r="S36" s="10">
        <v>1</v>
      </c>
    </row>
    <row r="37" spans="1:19" ht="13.5" customHeight="1">
      <c r="A37" s="564"/>
      <c r="B37" s="494" t="s">
        <v>522</v>
      </c>
      <c r="C37" s="234" t="s">
        <v>980</v>
      </c>
      <c r="D37" s="54">
        <f>SUM(D38:D39)</f>
        <v>151</v>
      </c>
      <c r="E37" s="55">
        <f>SUM(E38:E39)</f>
        <v>148</v>
      </c>
      <c r="F37" s="55">
        <f>SUM(F38:F39)</f>
        <v>3</v>
      </c>
      <c r="G37" s="55">
        <v>52</v>
      </c>
      <c r="H37" s="55">
        <f>SUM(H38:H39)</f>
        <v>0</v>
      </c>
      <c r="I37" s="55">
        <f aca="true" t="shared" si="9" ref="I37:S37">SUM(I38:I39)</f>
        <v>0</v>
      </c>
      <c r="J37" s="55">
        <f t="shared" si="9"/>
        <v>1</v>
      </c>
      <c r="K37" s="55">
        <f t="shared" si="9"/>
        <v>0</v>
      </c>
      <c r="L37" s="55">
        <f t="shared" si="9"/>
        <v>25</v>
      </c>
      <c r="M37" s="55">
        <f t="shared" si="9"/>
        <v>79</v>
      </c>
      <c r="N37" s="55">
        <f t="shared" si="9"/>
        <v>40</v>
      </c>
      <c r="O37" s="55">
        <f t="shared" si="9"/>
        <v>6</v>
      </c>
      <c r="P37" s="55">
        <f t="shared" si="9"/>
        <v>0</v>
      </c>
      <c r="Q37" s="55">
        <f t="shared" si="9"/>
        <v>38</v>
      </c>
      <c r="R37" s="55">
        <f t="shared" si="9"/>
        <v>66</v>
      </c>
      <c r="S37" s="55">
        <f t="shared" si="9"/>
        <v>47</v>
      </c>
    </row>
    <row r="38" spans="1:19" ht="13.5" customHeight="1">
      <c r="A38" s="564"/>
      <c r="B38" s="494"/>
      <c r="C38" s="124" t="s">
        <v>981</v>
      </c>
      <c r="D38" s="64">
        <v>107</v>
      </c>
      <c r="E38" s="49">
        <v>104</v>
      </c>
      <c r="F38" s="58">
        <v>3</v>
      </c>
      <c r="G38" s="49">
        <v>53</v>
      </c>
      <c r="H38" s="49">
        <v>0</v>
      </c>
      <c r="I38" s="49">
        <v>0</v>
      </c>
      <c r="J38" s="59">
        <v>0</v>
      </c>
      <c r="K38" s="58">
        <v>0</v>
      </c>
      <c r="L38" s="58">
        <v>19</v>
      </c>
      <c r="M38" s="58">
        <v>49</v>
      </c>
      <c r="N38" s="58">
        <v>33</v>
      </c>
      <c r="O38" s="58">
        <v>6</v>
      </c>
      <c r="P38" s="58">
        <v>0</v>
      </c>
      <c r="Q38" s="58">
        <v>25</v>
      </c>
      <c r="R38" s="58">
        <v>49</v>
      </c>
      <c r="S38" s="58">
        <v>33</v>
      </c>
    </row>
    <row r="39" spans="1:19" ht="13.5" customHeight="1">
      <c r="A39" s="564"/>
      <c r="B39" s="494"/>
      <c r="C39" s="235" t="s">
        <v>982</v>
      </c>
      <c r="D39" s="64">
        <v>44</v>
      </c>
      <c r="E39" s="49">
        <v>44</v>
      </c>
      <c r="F39" s="58">
        <v>0</v>
      </c>
      <c r="G39" s="49">
        <v>51</v>
      </c>
      <c r="H39" s="49">
        <v>0</v>
      </c>
      <c r="I39" s="49">
        <v>0</v>
      </c>
      <c r="J39" s="59">
        <v>1</v>
      </c>
      <c r="K39" s="58">
        <v>0</v>
      </c>
      <c r="L39" s="58">
        <v>6</v>
      </c>
      <c r="M39" s="58">
        <v>30</v>
      </c>
      <c r="N39" s="58">
        <v>7</v>
      </c>
      <c r="O39" s="58">
        <v>0</v>
      </c>
      <c r="P39" s="58">
        <v>0</v>
      </c>
      <c r="Q39" s="58">
        <v>13</v>
      </c>
      <c r="R39" s="58">
        <v>17</v>
      </c>
      <c r="S39" s="58">
        <v>14</v>
      </c>
    </row>
    <row r="40" spans="1:19" ht="13.5" customHeight="1">
      <c r="A40" s="564"/>
      <c r="B40" s="494" t="s">
        <v>532</v>
      </c>
      <c r="C40" s="141" t="s">
        <v>980</v>
      </c>
      <c r="D40" s="55">
        <f>SUM(D41:D42)</f>
        <v>134</v>
      </c>
      <c r="E40" s="55">
        <f>SUM(E41:E42)</f>
        <v>132</v>
      </c>
      <c r="F40" s="55">
        <f>SUM(F41:F42)</f>
        <v>2</v>
      </c>
      <c r="G40" s="55">
        <v>54</v>
      </c>
      <c r="H40" s="55">
        <f>SUM(H41:H42)</f>
        <v>0</v>
      </c>
      <c r="I40" s="55">
        <f aca="true" t="shared" si="10" ref="I40:S40">SUM(I41:I42)</f>
        <v>0</v>
      </c>
      <c r="J40" s="55">
        <f t="shared" si="10"/>
        <v>0</v>
      </c>
      <c r="K40" s="55">
        <f t="shared" si="10"/>
        <v>1</v>
      </c>
      <c r="L40" s="55">
        <f t="shared" si="10"/>
        <v>14</v>
      </c>
      <c r="M40" s="55">
        <f t="shared" si="10"/>
        <v>58</v>
      </c>
      <c r="N40" s="55">
        <f t="shared" si="10"/>
        <v>50</v>
      </c>
      <c r="O40" s="55">
        <f t="shared" si="10"/>
        <v>11</v>
      </c>
      <c r="P40" s="55">
        <f t="shared" si="10"/>
        <v>0</v>
      </c>
      <c r="Q40" s="55">
        <f t="shared" si="10"/>
        <v>96</v>
      </c>
      <c r="R40" s="55">
        <f t="shared" si="10"/>
        <v>36</v>
      </c>
      <c r="S40" s="55">
        <f t="shared" si="10"/>
        <v>2</v>
      </c>
    </row>
    <row r="41" spans="1:19" ht="13.5" customHeight="1">
      <c r="A41" s="564"/>
      <c r="B41" s="494"/>
      <c r="C41" s="143" t="s">
        <v>981</v>
      </c>
      <c r="D41" s="49">
        <v>103</v>
      </c>
      <c r="E41" s="49">
        <v>101</v>
      </c>
      <c r="F41" s="58">
        <v>2</v>
      </c>
      <c r="G41" s="49">
        <v>54</v>
      </c>
      <c r="H41" s="49">
        <v>0</v>
      </c>
      <c r="I41" s="49">
        <v>0</v>
      </c>
      <c r="J41" s="59">
        <v>0</v>
      </c>
      <c r="K41" s="58">
        <v>1</v>
      </c>
      <c r="L41" s="58">
        <v>13</v>
      </c>
      <c r="M41" s="58">
        <v>40</v>
      </c>
      <c r="N41" s="58">
        <v>39</v>
      </c>
      <c r="O41" s="58">
        <v>10</v>
      </c>
      <c r="P41" s="58">
        <v>0</v>
      </c>
      <c r="Q41" s="58">
        <v>70</v>
      </c>
      <c r="R41" s="58">
        <v>32</v>
      </c>
      <c r="S41" s="58">
        <v>1</v>
      </c>
    </row>
    <row r="42" spans="1:19" ht="13.5" customHeight="1">
      <c r="A42" s="564"/>
      <c r="B42" s="494"/>
      <c r="C42" s="144" t="s">
        <v>982</v>
      </c>
      <c r="D42" s="49">
        <v>31</v>
      </c>
      <c r="E42" s="49">
        <v>31</v>
      </c>
      <c r="F42" s="58">
        <v>0</v>
      </c>
      <c r="G42" s="49">
        <v>54</v>
      </c>
      <c r="H42" s="49">
        <v>0</v>
      </c>
      <c r="I42" s="49">
        <v>0</v>
      </c>
      <c r="J42" s="59">
        <v>0</v>
      </c>
      <c r="K42" s="58">
        <v>0</v>
      </c>
      <c r="L42" s="58">
        <v>1</v>
      </c>
      <c r="M42" s="58">
        <v>18</v>
      </c>
      <c r="N42" s="58">
        <v>11</v>
      </c>
      <c r="O42" s="58">
        <v>1</v>
      </c>
      <c r="P42" s="58">
        <v>0</v>
      </c>
      <c r="Q42" s="58">
        <v>26</v>
      </c>
      <c r="R42" s="58">
        <v>4</v>
      </c>
      <c r="S42" s="58">
        <v>1</v>
      </c>
    </row>
    <row r="43" spans="1:19" s="93" customFormat="1" ht="13.5" customHeight="1">
      <c r="A43" s="564"/>
      <c r="B43" s="494" t="s">
        <v>533</v>
      </c>
      <c r="C43" s="141" t="s">
        <v>980</v>
      </c>
      <c r="D43" s="55">
        <f>SUM(D44:D45)</f>
        <v>164</v>
      </c>
      <c r="E43" s="55">
        <f>SUM(E44:E45)</f>
        <v>158</v>
      </c>
      <c r="F43" s="55">
        <f>SUM(F44:F45)</f>
        <v>6</v>
      </c>
      <c r="G43" s="55">
        <v>54</v>
      </c>
      <c r="H43" s="55">
        <f>SUM(H44:H45)</f>
        <v>0</v>
      </c>
      <c r="I43" s="55">
        <f aca="true" t="shared" si="11" ref="I43:S43">SUM(I44:I45)</f>
        <v>0</v>
      </c>
      <c r="J43" s="55">
        <f t="shared" si="11"/>
        <v>0</v>
      </c>
      <c r="K43" s="55">
        <f t="shared" si="11"/>
        <v>1</v>
      </c>
      <c r="L43" s="55">
        <f t="shared" si="11"/>
        <v>13</v>
      </c>
      <c r="M43" s="55">
        <f t="shared" si="11"/>
        <v>68</v>
      </c>
      <c r="N43" s="55">
        <f t="shared" si="11"/>
        <v>73</v>
      </c>
      <c r="O43" s="55">
        <f t="shared" si="11"/>
        <v>9</v>
      </c>
      <c r="P43" s="55">
        <f t="shared" si="11"/>
        <v>0</v>
      </c>
      <c r="Q43" s="55">
        <f t="shared" si="11"/>
        <v>106</v>
      </c>
      <c r="R43" s="55">
        <f t="shared" si="11"/>
        <v>56</v>
      </c>
      <c r="S43" s="55">
        <f t="shared" si="11"/>
        <v>2</v>
      </c>
    </row>
    <row r="44" spans="1:19" s="93" customFormat="1" ht="13.5" customHeight="1">
      <c r="A44" s="582"/>
      <c r="B44" s="494"/>
      <c r="C44" s="143" t="s">
        <v>981</v>
      </c>
      <c r="D44" s="49">
        <v>122</v>
      </c>
      <c r="E44" s="49">
        <v>117</v>
      </c>
      <c r="F44" s="49">
        <v>5</v>
      </c>
      <c r="G44" s="49">
        <v>54</v>
      </c>
      <c r="H44" s="49">
        <v>0</v>
      </c>
      <c r="I44" s="49">
        <v>0</v>
      </c>
      <c r="J44" s="49">
        <v>0</v>
      </c>
      <c r="K44" s="49">
        <v>1</v>
      </c>
      <c r="L44" s="49">
        <v>9</v>
      </c>
      <c r="M44" s="49">
        <v>49</v>
      </c>
      <c r="N44" s="49">
        <v>55</v>
      </c>
      <c r="O44" s="49">
        <v>8</v>
      </c>
      <c r="P44" s="49">
        <v>0</v>
      </c>
      <c r="Q44" s="49">
        <v>69</v>
      </c>
      <c r="R44" s="49">
        <v>51</v>
      </c>
      <c r="S44" s="49">
        <v>2</v>
      </c>
    </row>
    <row r="45" spans="1:19" s="93" customFormat="1" ht="13.5" customHeight="1">
      <c r="A45" s="564"/>
      <c r="B45" s="494"/>
      <c r="C45" s="144" t="s">
        <v>982</v>
      </c>
      <c r="D45" s="49">
        <v>42</v>
      </c>
      <c r="E45" s="49">
        <v>41</v>
      </c>
      <c r="F45" s="49">
        <v>1</v>
      </c>
      <c r="G45" s="49">
        <v>53</v>
      </c>
      <c r="H45" s="49">
        <v>0</v>
      </c>
      <c r="I45" s="49">
        <v>0</v>
      </c>
      <c r="J45" s="49">
        <v>0</v>
      </c>
      <c r="K45" s="49">
        <v>0</v>
      </c>
      <c r="L45" s="49">
        <v>4</v>
      </c>
      <c r="M45" s="49">
        <v>19</v>
      </c>
      <c r="N45" s="49">
        <v>18</v>
      </c>
      <c r="O45" s="49">
        <v>1</v>
      </c>
      <c r="P45" s="49">
        <v>0</v>
      </c>
      <c r="Q45" s="49">
        <v>37</v>
      </c>
      <c r="R45" s="49">
        <v>5</v>
      </c>
      <c r="S45" s="49">
        <v>0</v>
      </c>
    </row>
    <row r="46" spans="1:19" s="93" customFormat="1" ht="13.5" customHeight="1">
      <c r="A46" s="564"/>
      <c r="B46" s="494" t="s">
        <v>534</v>
      </c>
      <c r="C46" s="141" t="s">
        <v>980</v>
      </c>
      <c r="D46" s="55">
        <f>SUM(D47:D48)</f>
        <v>116</v>
      </c>
      <c r="E46" s="55">
        <f>SUM(E47:E48)</f>
        <v>99</v>
      </c>
      <c r="F46" s="55">
        <f>SUM(F47:F48)</f>
        <v>17</v>
      </c>
      <c r="G46" s="55">
        <v>54</v>
      </c>
      <c r="H46" s="55">
        <f>SUM(H47:H48)</f>
        <v>0</v>
      </c>
      <c r="I46" s="55">
        <f aca="true" t="shared" si="12" ref="I46:S46">SUM(I47:I48)</f>
        <v>0</v>
      </c>
      <c r="J46" s="55">
        <f t="shared" si="12"/>
        <v>0</v>
      </c>
      <c r="K46" s="55">
        <f t="shared" si="12"/>
        <v>1</v>
      </c>
      <c r="L46" s="55">
        <f t="shared" si="12"/>
        <v>11</v>
      </c>
      <c r="M46" s="55">
        <f t="shared" si="12"/>
        <v>52</v>
      </c>
      <c r="N46" s="55">
        <f t="shared" si="12"/>
        <v>39</v>
      </c>
      <c r="O46" s="55">
        <f t="shared" si="12"/>
        <v>13</v>
      </c>
      <c r="P46" s="55">
        <f t="shared" si="12"/>
        <v>1</v>
      </c>
      <c r="Q46" s="55">
        <f t="shared" si="12"/>
        <v>16</v>
      </c>
      <c r="R46" s="55">
        <f t="shared" si="12"/>
        <v>35</v>
      </c>
      <c r="S46" s="55">
        <f t="shared" si="12"/>
        <v>64</v>
      </c>
    </row>
    <row r="47" spans="1:19" s="93" customFormat="1" ht="13.5" customHeight="1">
      <c r="A47" s="564"/>
      <c r="B47" s="494"/>
      <c r="C47" s="143" t="s">
        <v>981</v>
      </c>
      <c r="D47" s="49">
        <v>92</v>
      </c>
      <c r="E47" s="49">
        <v>77</v>
      </c>
      <c r="F47" s="58">
        <v>15</v>
      </c>
      <c r="G47" s="49">
        <v>54</v>
      </c>
      <c r="H47" s="49">
        <v>0</v>
      </c>
      <c r="I47" s="49">
        <v>0</v>
      </c>
      <c r="J47" s="59">
        <v>0</v>
      </c>
      <c r="K47" s="58">
        <v>1</v>
      </c>
      <c r="L47" s="58">
        <v>4</v>
      </c>
      <c r="M47" s="58">
        <v>44</v>
      </c>
      <c r="N47" s="58">
        <v>34</v>
      </c>
      <c r="O47" s="58">
        <v>9</v>
      </c>
      <c r="P47" s="58">
        <v>0</v>
      </c>
      <c r="Q47" s="58">
        <v>10</v>
      </c>
      <c r="R47" s="58">
        <v>25</v>
      </c>
      <c r="S47" s="58">
        <v>57</v>
      </c>
    </row>
    <row r="48" spans="1:19" s="93" customFormat="1" ht="13.5" customHeight="1">
      <c r="A48" s="564"/>
      <c r="B48" s="494"/>
      <c r="C48" s="143" t="s">
        <v>982</v>
      </c>
      <c r="D48" s="49">
        <v>24</v>
      </c>
      <c r="E48" s="49">
        <v>22</v>
      </c>
      <c r="F48" s="58">
        <v>2</v>
      </c>
      <c r="G48" s="49">
        <v>54</v>
      </c>
      <c r="H48" s="49">
        <v>0</v>
      </c>
      <c r="I48" s="49">
        <v>0</v>
      </c>
      <c r="J48" s="59">
        <v>0</v>
      </c>
      <c r="K48" s="58">
        <v>0</v>
      </c>
      <c r="L48" s="58">
        <v>7</v>
      </c>
      <c r="M48" s="58">
        <v>8</v>
      </c>
      <c r="N48" s="58">
        <v>5</v>
      </c>
      <c r="O48" s="58">
        <v>4</v>
      </c>
      <c r="P48" s="58">
        <v>1</v>
      </c>
      <c r="Q48" s="58">
        <v>6</v>
      </c>
      <c r="R48" s="58">
        <v>10</v>
      </c>
      <c r="S48" s="58">
        <v>7</v>
      </c>
    </row>
    <row r="54" spans="1:19" ht="15.75">
      <c r="A54" s="573" t="str">
        <f>"- "&amp;Sheet1!F34&amp;" -"</f>
        <v>- 226 -</v>
      </c>
      <c r="B54" s="573"/>
      <c r="C54" s="573"/>
      <c r="D54" s="573"/>
      <c r="E54" s="573"/>
      <c r="F54" s="573"/>
      <c r="G54" s="573"/>
      <c r="H54" s="573"/>
      <c r="I54" s="573"/>
      <c r="J54" s="573" t="str">
        <f>"- "&amp;Sheet1!G34&amp;" -"</f>
        <v>- 227 -</v>
      </c>
      <c r="K54" s="573"/>
      <c r="L54" s="573"/>
      <c r="M54" s="573"/>
      <c r="N54" s="573"/>
      <c r="O54" s="573"/>
      <c r="P54" s="573"/>
      <c r="Q54" s="573"/>
      <c r="R54" s="573"/>
      <c r="S54" s="573"/>
    </row>
  </sheetData>
  <sheetProtection/>
  <mergeCells count="32">
    <mergeCell ref="A54:I54"/>
    <mergeCell ref="J54:S54"/>
    <mergeCell ref="B22:B24"/>
    <mergeCell ref="B25:B27"/>
    <mergeCell ref="B28:B30"/>
    <mergeCell ref="B31:B33"/>
    <mergeCell ref="A14:A24"/>
    <mergeCell ref="A1:I1"/>
    <mergeCell ref="J1:S1"/>
    <mergeCell ref="F5:F6"/>
    <mergeCell ref="K5:O5"/>
    <mergeCell ref="H5:J5"/>
    <mergeCell ref="C3:H3"/>
    <mergeCell ref="L3:R3"/>
    <mergeCell ref="P5:S5"/>
    <mergeCell ref="G5:G6"/>
    <mergeCell ref="A5:C6"/>
    <mergeCell ref="E5:E6"/>
    <mergeCell ref="D5:D6"/>
    <mergeCell ref="B10:B12"/>
    <mergeCell ref="B40:B42"/>
    <mergeCell ref="B13:B15"/>
    <mergeCell ref="B16:B18"/>
    <mergeCell ref="B19:B21"/>
    <mergeCell ref="A7:A13"/>
    <mergeCell ref="B43:B45"/>
    <mergeCell ref="B46:B48"/>
    <mergeCell ref="B34:B36"/>
    <mergeCell ref="B37:B39"/>
    <mergeCell ref="A25:A35"/>
    <mergeCell ref="A36:A48"/>
    <mergeCell ref="B7:B9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R57"/>
  <sheetViews>
    <sheetView tabSelected="1" view="pageLayout" zoomScaleSheetLayoutView="85" workbookViewId="0" topLeftCell="L1">
      <selection activeCell="O6" sqref="O6"/>
    </sheetView>
  </sheetViews>
  <sheetFormatPr defaultColWidth="9.00390625" defaultRowHeight="16.5"/>
  <cols>
    <col min="1" max="1" width="6.25390625" style="85" customWidth="1"/>
    <col min="2" max="2" width="10.00390625" style="85" customWidth="1"/>
    <col min="3" max="3" width="8.625" style="85" customWidth="1"/>
    <col min="4" max="4" width="10.875" style="85" customWidth="1"/>
    <col min="5" max="5" width="10.25390625" style="85" customWidth="1"/>
    <col min="6" max="6" width="11.625" style="85" customWidth="1"/>
    <col min="7" max="7" width="8.625" style="85" customWidth="1"/>
    <col min="8" max="8" width="8.875" style="85" customWidth="1"/>
    <col min="9" max="9" width="8.375" style="85" customWidth="1"/>
    <col min="10" max="10" width="9.00390625" style="85" customWidth="1"/>
    <col min="11" max="14" width="8.75390625" style="85" customWidth="1"/>
    <col min="15" max="15" width="8.875" style="85" customWidth="1"/>
    <col min="16" max="16" width="9.00390625" style="85" customWidth="1"/>
    <col min="17" max="17" width="9.625" style="85" customWidth="1"/>
    <col min="18" max="18" width="8.875" style="85" customWidth="1"/>
    <col min="19" max="19" width="9.50390625" style="85" customWidth="1"/>
    <col min="20" max="16384" width="9.00390625" style="85" customWidth="1"/>
  </cols>
  <sheetData>
    <row r="1" spans="1:19" s="98" customFormat="1" ht="21.75" customHeight="1">
      <c r="A1" s="539" t="s">
        <v>302</v>
      </c>
      <c r="B1" s="505"/>
      <c r="C1" s="505"/>
      <c r="D1" s="505"/>
      <c r="E1" s="505"/>
      <c r="F1" s="505"/>
      <c r="G1" s="505"/>
      <c r="H1" s="505"/>
      <c r="I1" s="505"/>
      <c r="J1" s="505" t="s">
        <v>303</v>
      </c>
      <c r="K1" s="505"/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53"/>
      <c r="M2" s="2"/>
      <c r="N2" s="2"/>
      <c r="O2" s="2"/>
      <c r="P2" s="2"/>
      <c r="Q2" s="2"/>
      <c r="R2" s="2"/>
      <c r="S2" s="2"/>
    </row>
    <row r="3" spans="1:19" s="97" customFormat="1" ht="15" customHeight="1">
      <c r="A3" s="16"/>
      <c r="B3" s="16"/>
      <c r="C3" s="460" t="s">
        <v>831</v>
      </c>
      <c r="D3" s="461"/>
      <c r="E3" s="461"/>
      <c r="F3" s="461"/>
      <c r="G3" s="461"/>
      <c r="H3" s="461"/>
      <c r="I3" s="4" t="s">
        <v>698</v>
      </c>
      <c r="K3" s="5"/>
      <c r="L3" s="461" t="s">
        <v>517</v>
      </c>
      <c r="M3" s="461"/>
      <c r="N3" s="461"/>
      <c r="O3" s="461"/>
      <c r="P3" s="461"/>
      <c r="Q3" s="461"/>
      <c r="R3" s="461"/>
      <c r="S3" s="107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31.5" customHeight="1">
      <c r="A5" s="576"/>
      <c r="B5" s="576"/>
      <c r="C5" s="577"/>
      <c r="D5" s="507" t="s">
        <v>974</v>
      </c>
      <c r="E5" s="507" t="s">
        <v>975</v>
      </c>
      <c r="F5" s="507" t="s">
        <v>976</v>
      </c>
      <c r="G5" s="507" t="s">
        <v>977</v>
      </c>
      <c r="H5" s="495" t="s">
        <v>978</v>
      </c>
      <c r="I5" s="496"/>
      <c r="J5" s="496"/>
      <c r="K5" s="574" t="s">
        <v>979</v>
      </c>
      <c r="L5" s="574"/>
      <c r="M5" s="574"/>
      <c r="N5" s="574"/>
      <c r="O5" s="575"/>
      <c r="P5" s="495" t="s">
        <v>764</v>
      </c>
      <c r="Q5" s="496"/>
      <c r="R5" s="496"/>
      <c r="S5" s="496"/>
    </row>
    <row r="6" spans="1:19" s="42" customFormat="1" ht="61.5" customHeight="1">
      <c r="A6" s="578"/>
      <c r="B6" s="578"/>
      <c r="C6" s="579"/>
      <c r="D6" s="512"/>
      <c r="E6" s="512"/>
      <c r="F6" s="513"/>
      <c r="G6" s="508"/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929</v>
      </c>
      <c r="S6" s="120" t="s">
        <v>711</v>
      </c>
    </row>
    <row r="7" spans="1:44" s="93" customFormat="1" ht="13.5" customHeight="1">
      <c r="A7" s="583" t="s">
        <v>588</v>
      </c>
      <c r="B7" s="491" t="s">
        <v>535</v>
      </c>
      <c r="C7" s="141" t="s">
        <v>980</v>
      </c>
      <c r="D7" s="56">
        <f>SUM(D8:D9)</f>
        <v>102</v>
      </c>
      <c r="E7" s="56">
        <f>SUM(E8:E9)</f>
        <v>94</v>
      </c>
      <c r="F7" s="56">
        <f>SUM(F8:F9)</f>
        <v>8</v>
      </c>
      <c r="G7" s="55">
        <v>53</v>
      </c>
      <c r="H7" s="55">
        <f>SUM(H8:H9)</f>
        <v>0</v>
      </c>
      <c r="I7" s="55">
        <f aca="true" t="shared" si="0" ref="I7:S7">SUM(I8:I9)</f>
        <v>0</v>
      </c>
      <c r="J7" s="55">
        <f t="shared" si="0"/>
        <v>0</v>
      </c>
      <c r="K7" s="55">
        <f t="shared" si="0"/>
        <v>0</v>
      </c>
      <c r="L7" s="55">
        <f t="shared" si="0"/>
        <v>11</v>
      </c>
      <c r="M7" s="55">
        <f t="shared" si="0"/>
        <v>47</v>
      </c>
      <c r="N7" s="55">
        <f t="shared" si="0"/>
        <v>37</v>
      </c>
      <c r="O7" s="55">
        <f t="shared" si="0"/>
        <v>7</v>
      </c>
      <c r="P7" s="55">
        <f t="shared" si="0"/>
        <v>0</v>
      </c>
      <c r="Q7" s="55">
        <f t="shared" si="0"/>
        <v>61</v>
      </c>
      <c r="R7" s="55">
        <f t="shared" si="0"/>
        <v>41</v>
      </c>
      <c r="S7" s="55">
        <f t="shared" si="0"/>
        <v>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584"/>
      <c r="B8" s="492"/>
      <c r="C8" s="143" t="s">
        <v>981</v>
      </c>
      <c r="D8" s="49">
        <v>73</v>
      </c>
      <c r="E8" s="49">
        <v>65</v>
      </c>
      <c r="F8" s="58">
        <v>8</v>
      </c>
      <c r="G8" s="49">
        <v>54</v>
      </c>
      <c r="H8" s="49">
        <v>0</v>
      </c>
      <c r="I8" s="49">
        <v>0</v>
      </c>
      <c r="J8" s="59">
        <v>0</v>
      </c>
      <c r="K8" s="58">
        <v>0</v>
      </c>
      <c r="L8" s="58">
        <v>3</v>
      </c>
      <c r="M8" s="58">
        <v>36</v>
      </c>
      <c r="N8" s="58">
        <v>28</v>
      </c>
      <c r="O8" s="58">
        <v>6</v>
      </c>
      <c r="P8" s="58">
        <v>0</v>
      </c>
      <c r="Q8" s="58">
        <v>39</v>
      </c>
      <c r="R8" s="58">
        <v>34</v>
      </c>
      <c r="S8" s="58">
        <v>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584"/>
      <c r="B9" s="493"/>
      <c r="C9" s="144" t="s">
        <v>982</v>
      </c>
      <c r="D9" s="49">
        <v>29</v>
      </c>
      <c r="E9" s="49">
        <v>29</v>
      </c>
      <c r="F9" s="58">
        <v>0</v>
      </c>
      <c r="G9" s="49">
        <v>52</v>
      </c>
      <c r="H9" s="49">
        <v>0</v>
      </c>
      <c r="I9" s="49">
        <v>0</v>
      </c>
      <c r="J9" s="59">
        <v>0</v>
      </c>
      <c r="K9" s="58">
        <v>0</v>
      </c>
      <c r="L9" s="58">
        <v>8</v>
      </c>
      <c r="M9" s="58">
        <v>11</v>
      </c>
      <c r="N9" s="58">
        <v>9</v>
      </c>
      <c r="O9" s="58">
        <v>1</v>
      </c>
      <c r="P9" s="58">
        <v>0</v>
      </c>
      <c r="Q9" s="58">
        <v>22</v>
      </c>
      <c r="R9" s="58">
        <v>7</v>
      </c>
      <c r="S9" s="58">
        <v>0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584"/>
      <c r="B10" s="494" t="s">
        <v>536</v>
      </c>
      <c r="C10" s="141" t="s">
        <v>980</v>
      </c>
      <c r="D10" s="55">
        <f>SUM(D11:D12)</f>
        <v>134</v>
      </c>
      <c r="E10" s="55">
        <f>SUM(E11:E12)</f>
        <v>112</v>
      </c>
      <c r="F10" s="55">
        <f>SUM(F11:F12)</f>
        <v>22</v>
      </c>
      <c r="G10" s="55">
        <v>53</v>
      </c>
      <c r="H10" s="55">
        <f>SUM(H11:H12)</f>
        <v>0</v>
      </c>
      <c r="I10" s="55">
        <f aca="true" t="shared" si="1" ref="I10:S10">SUM(I11:I12)</f>
        <v>0</v>
      </c>
      <c r="J10" s="55">
        <f t="shared" si="1"/>
        <v>0</v>
      </c>
      <c r="K10" s="55">
        <f t="shared" si="1"/>
        <v>0</v>
      </c>
      <c r="L10" s="55">
        <f t="shared" si="1"/>
        <v>22</v>
      </c>
      <c r="M10" s="55">
        <f t="shared" si="1"/>
        <v>52</v>
      </c>
      <c r="N10" s="55">
        <f t="shared" si="1"/>
        <v>50</v>
      </c>
      <c r="O10" s="55">
        <f t="shared" si="1"/>
        <v>10</v>
      </c>
      <c r="P10" s="55">
        <f t="shared" si="1"/>
        <v>1</v>
      </c>
      <c r="Q10" s="55">
        <f t="shared" si="1"/>
        <v>80</v>
      </c>
      <c r="R10" s="55">
        <f t="shared" si="1"/>
        <v>49</v>
      </c>
      <c r="S10" s="55">
        <f t="shared" si="1"/>
        <v>4</v>
      </c>
    </row>
    <row r="11" spans="1:19" s="93" customFormat="1" ht="13.5" customHeight="1">
      <c r="A11" s="548" t="s">
        <v>589</v>
      </c>
      <c r="B11" s="494"/>
      <c r="C11" s="143" t="s">
        <v>981</v>
      </c>
      <c r="D11" s="49">
        <v>102</v>
      </c>
      <c r="E11" s="49">
        <v>82</v>
      </c>
      <c r="F11" s="58">
        <v>20</v>
      </c>
      <c r="G11" s="49">
        <v>54</v>
      </c>
      <c r="H11" s="49">
        <v>0</v>
      </c>
      <c r="I11" s="49">
        <v>0</v>
      </c>
      <c r="J11" s="59">
        <v>0</v>
      </c>
      <c r="K11" s="58">
        <v>0</v>
      </c>
      <c r="L11" s="58">
        <v>7</v>
      </c>
      <c r="M11" s="58">
        <v>41</v>
      </c>
      <c r="N11" s="58">
        <v>46</v>
      </c>
      <c r="O11" s="58">
        <v>8</v>
      </c>
      <c r="P11" s="58">
        <v>0</v>
      </c>
      <c r="Q11" s="58">
        <v>53</v>
      </c>
      <c r="R11" s="58">
        <v>46</v>
      </c>
      <c r="S11" s="58">
        <v>3</v>
      </c>
    </row>
    <row r="12" spans="1:19" s="93" customFormat="1" ht="13.5" customHeight="1">
      <c r="A12" s="548"/>
      <c r="B12" s="494"/>
      <c r="C12" s="144" t="s">
        <v>982</v>
      </c>
      <c r="D12" s="49">
        <v>32</v>
      </c>
      <c r="E12" s="49">
        <v>30</v>
      </c>
      <c r="F12" s="58">
        <v>2</v>
      </c>
      <c r="G12" s="49">
        <v>51</v>
      </c>
      <c r="H12" s="49">
        <v>0</v>
      </c>
      <c r="I12" s="49">
        <v>0</v>
      </c>
      <c r="J12" s="59">
        <v>0</v>
      </c>
      <c r="K12" s="58">
        <v>0</v>
      </c>
      <c r="L12" s="58">
        <v>15</v>
      </c>
      <c r="M12" s="58">
        <v>11</v>
      </c>
      <c r="N12" s="58">
        <v>4</v>
      </c>
      <c r="O12" s="58">
        <v>2</v>
      </c>
      <c r="P12" s="58">
        <v>1</v>
      </c>
      <c r="Q12" s="58">
        <v>27</v>
      </c>
      <c r="R12" s="58">
        <v>3</v>
      </c>
      <c r="S12" s="58">
        <v>1</v>
      </c>
    </row>
    <row r="13" spans="1:19" s="93" customFormat="1" ht="13.5" customHeight="1">
      <c r="A13" s="548"/>
      <c r="B13" s="507" t="s">
        <v>537</v>
      </c>
      <c r="C13" s="141" t="s">
        <v>980</v>
      </c>
      <c r="D13" s="55">
        <f>SUM(D14:D15)</f>
        <v>148</v>
      </c>
      <c r="E13" s="55">
        <f>SUM(E14:E15)</f>
        <v>108</v>
      </c>
      <c r="F13" s="55">
        <f>SUM(F14:F15)</f>
        <v>40</v>
      </c>
      <c r="G13" s="55">
        <v>54</v>
      </c>
      <c r="H13" s="55">
        <f>SUM(H14:H15)</f>
        <v>0</v>
      </c>
      <c r="I13" s="55">
        <f aca="true" t="shared" si="2" ref="I13:S13">SUM(I14:I15)</f>
        <v>0</v>
      </c>
      <c r="J13" s="55">
        <f t="shared" si="2"/>
        <v>0</v>
      </c>
      <c r="K13" s="55">
        <f t="shared" si="2"/>
        <v>0</v>
      </c>
      <c r="L13" s="55">
        <f t="shared" si="2"/>
        <v>17</v>
      </c>
      <c r="M13" s="55">
        <f t="shared" si="2"/>
        <v>62</v>
      </c>
      <c r="N13" s="55">
        <f t="shared" si="2"/>
        <v>51</v>
      </c>
      <c r="O13" s="55">
        <f t="shared" si="2"/>
        <v>18</v>
      </c>
      <c r="P13" s="55">
        <f t="shared" si="2"/>
        <v>0</v>
      </c>
      <c r="Q13" s="55">
        <f t="shared" si="2"/>
        <v>100</v>
      </c>
      <c r="R13" s="55">
        <f t="shared" si="2"/>
        <v>46</v>
      </c>
      <c r="S13" s="55">
        <f t="shared" si="2"/>
        <v>2</v>
      </c>
    </row>
    <row r="14" spans="1:19" s="93" customFormat="1" ht="13.5" customHeight="1">
      <c r="A14" s="548"/>
      <c r="B14" s="516"/>
      <c r="C14" s="143" t="s">
        <v>981</v>
      </c>
      <c r="D14" s="49">
        <v>113</v>
      </c>
      <c r="E14" s="49">
        <v>76</v>
      </c>
      <c r="F14" s="58">
        <v>37</v>
      </c>
      <c r="G14" s="49">
        <v>55</v>
      </c>
      <c r="H14" s="49">
        <v>0</v>
      </c>
      <c r="I14" s="49">
        <v>0</v>
      </c>
      <c r="J14" s="59">
        <v>0</v>
      </c>
      <c r="K14" s="58">
        <v>0</v>
      </c>
      <c r="L14" s="58">
        <v>5</v>
      </c>
      <c r="M14" s="58">
        <v>44</v>
      </c>
      <c r="N14" s="58">
        <v>47</v>
      </c>
      <c r="O14" s="58">
        <v>17</v>
      </c>
      <c r="P14" s="58">
        <v>0</v>
      </c>
      <c r="Q14" s="58">
        <v>68</v>
      </c>
      <c r="R14" s="58">
        <v>43</v>
      </c>
      <c r="S14" s="58">
        <v>2</v>
      </c>
    </row>
    <row r="15" spans="1:19" s="93" customFormat="1" ht="13.5" customHeight="1">
      <c r="A15" s="548"/>
      <c r="B15" s="516"/>
      <c r="C15" s="143" t="s">
        <v>982</v>
      </c>
      <c r="D15" s="49">
        <v>35</v>
      </c>
      <c r="E15" s="49">
        <v>32</v>
      </c>
      <c r="F15" s="58">
        <v>3</v>
      </c>
      <c r="G15" s="49">
        <v>51</v>
      </c>
      <c r="H15" s="49">
        <v>0</v>
      </c>
      <c r="I15" s="49">
        <v>0</v>
      </c>
      <c r="J15" s="59">
        <v>0</v>
      </c>
      <c r="K15" s="58">
        <v>0</v>
      </c>
      <c r="L15" s="58">
        <v>12</v>
      </c>
      <c r="M15" s="58">
        <v>18</v>
      </c>
      <c r="N15" s="58">
        <v>4</v>
      </c>
      <c r="O15" s="58">
        <v>1</v>
      </c>
      <c r="P15" s="58">
        <v>0</v>
      </c>
      <c r="Q15" s="58">
        <v>32</v>
      </c>
      <c r="R15" s="58">
        <v>3</v>
      </c>
      <c r="S15" s="58">
        <v>0</v>
      </c>
    </row>
    <row r="16" spans="1:19" s="93" customFormat="1" ht="13.5" customHeight="1">
      <c r="A16" s="541" t="s">
        <v>584</v>
      </c>
      <c r="B16" s="536" t="s">
        <v>581</v>
      </c>
      <c r="C16" s="234" t="s">
        <v>702</v>
      </c>
      <c r="D16" s="140">
        <f>SUM(D19,D22,D25,D28)</f>
        <v>637</v>
      </c>
      <c r="E16" s="56">
        <v>586</v>
      </c>
      <c r="F16" s="56">
        <f>SUM(F19,F22,F25,F28)</f>
        <v>94</v>
      </c>
      <c r="G16" s="56">
        <v>49</v>
      </c>
      <c r="H16" s="56">
        <f>SUM(H19,H22,H25,H28)</f>
        <v>0</v>
      </c>
      <c r="I16" s="56">
        <f aca="true" t="shared" si="3" ref="I16:R16">SUM(I19,I22,I25,I28)</f>
        <v>3</v>
      </c>
      <c r="J16" s="56">
        <f t="shared" si="3"/>
        <v>33</v>
      </c>
      <c r="K16" s="56">
        <f t="shared" si="3"/>
        <v>78</v>
      </c>
      <c r="L16" s="56">
        <f t="shared" si="3"/>
        <v>188</v>
      </c>
      <c r="M16" s="56">
        <f t="shared" si="3"/>
        <v>216</v>
      </c>
      <c r="N16" s="56">
        <f t="shared" si="3"/>
        <v>109</v>
      </c>
      <c r="O16" s="56">
        <f t="shared" si="3"/>
        <v>10</v>
      </c>
      <c r="P16" s="56">
        <f t="shared" si="3"/>
        <v>246</v>
      </c>
      <c r="Q16" s="56">
        <f t="shared" si="3"/>
        <v>389</v>
      </c>
      <c r="R16" s="56">
        <f t="shared" si="3"/>
        <v>2</v>
      </c>
      <c r="S16" s="56">
        <f>SUM(S19,S22,S25,S28)</f>
        <v>0</v>
      </c>
    </row>
    <row r="17" spans="1:19" s="93" customFormat="1" ht="13.5" customHeight="1">
      <c r="A17" s="542"/>
      <c r="B17" s="492"/>
      <c r="C17" s="124" t="s">
        <v>703</v>
      </c>
      <c r="D17" s="24">
        <f>SUM(D20,D23,D26,D29)</f>
        <v>618</v>
      </c>
      <c r="E17" s="10">
        <f>SUM(E20,E23,E26,E29)</f>
        <v>525</v>
      </c>
      <c r="F17" s="10">
        <f>SUM(F20,F23,F26,F29)</f>
        <v>93</v>
      </c>
      <c r="G17" s="10">
        <v>49</v>
      </c>
      <c r="H17" s="10">
        <f>SUM(H20,H23,H26,H29)</f>
        <v>0</v>
      </c>
      <c r="I17" s="10">
        <f>SUM(I20,I23,I26,I29)</f>
        <v>3</v>
      </c>
      <c r="J17" s="10">
        <f>SUM(J20,J23,J26,J29)</f>
        <v>33</v>
      </c>
      <c r="K17" s="10">
        <f aca="true" t="shared" si="4" ref="K17:S17">SUM(K20,K23,K26,K29)</f>
        <v>73</v>
      </c>
      <c r="L17" s="10">
        <f t="shared" si="4"/>
        <v>179</v>
      </c>
      <c r="M17" s="10">
        <f t="shared" si="4"/>
        <v>212</v>
      </c>
      <c r="N17" s="10">
        <f t="shared" si="4"/>
        <v>108</v>
      </c>
      <c r="O17" s="10">
        <f t="shared" si="4"/>
        <v>10</v>
      </c>
      <c r="P17" s="10">
        <f t="shared" si="4"/>
        <v>232</v>
      </c>
      <c r="Q17" s="10">
        <f t="shared" si="4"/>
        <v>384</v>
      </c>
      <c r="R17" s="10">
        <f t="shared" si="4"/>
        <v>2</v>
      </c>
      <c r="S17" s="10">
        <f t="shared" si="4"/>
        <v>0</v>
      </c>
    </row>
    <row r="18" spans="1:19" s="93" customFormat="1" ht="13.5" customHeight="1">
      <c r="A18" s="542"/>
      <c r="B18" s="493"/>
      <c r="C18" s="235" t="s">
        <v>704</v>
      </c>
      <c r="D18" s="24">
        <f>SUM(D21,D24,D27,D30)</f>
        <v>19</v>
      </c>
      <c r="E18" s="10">
        <f>SUM(E21,E24,E27,E30)</f>
        <v>18</v>
      </c>
      <c r="F18" s="10">
        <f>SUM(F21,F24,F27,F30)</f>
        <v>1</v>
      </c>
      <c r="G18" s="10">
        <v>47</v>
      </c>
      <c r="H18" s="10">
        <f>SUM(H21,H24,H27,H30)</f>
        <v>0</v>
      </c>
      <c r="I18" s="10">
        <f aca="true" t="shared" si="5" ref="I18:S18">SUM(I21,I24,I27,I30)</f>
        <v>0</v>
      </c>
      <c r="J18" s="10">
        <f t="shared" si="5"/>
        <v>0</v>
      </c>
      <c r="K18" s="10">
        <f t="shared" si="5"/>
        <v>5</v>
      </c>
      <c r="L18" s="10">
        <f t="shared" si="5"/>
        <v>9</v>
      </c>
      <c r="M18" s="10">
        <f t="shared" si="5"/>
        <v>4</v>
      </c>
      <c r="N18" s="10">
        <f t="shared" si="5"/>
        <v>1</v>
      </c>
      <c r="O18" s="10">
        <f t="shared" si="5"/>
        <v>0</v>
      </c>
      <c r="P18" s="10">
        <f t="shared" si="5"/>
        <v>14</v>
      </c>
      <c r="Q18" s="10">
        <f t="shared" si="5"/>
        <v>5</v>
      </c>
      <c r="R18" s="10">
        <f t="shared" si="5"/>
        <v>0</v>
      </c>
      <c r="S18" s="10">
        <f t="shared" si="5"/>
        <v>0</v>
      </c>
    </row>
    <row r="19" spans="1:19" s="93" customFormat="1" ht="13.5" customHeight="1">
      <c r="A19" s="542"/>
      <c r="B19" s="491" t="s">
        <v>534</v>
      </c>
      <c r="C19" s="234" t="s">
        <v>702</v>
      </c>
      <c r="D19" s="54">
        <v>362</v>
      </c>
      <c r="E19" s="55">
        <v>309</v>
      </c>
      <c r="F19" s="55">
        <v>53</v>
      </c>
      <c r="G19" s="55">
        <v>50</v>
      </c>
      <c r="H19" s="55">
        <f>SUM(H20:H21)</f>
        <v>0</v>
      </c>
      <c r="I19" s="55">
        <f>SUM(I20:I21)</f>
        <v>1</v>
      </c>
      <c r="J19" s="55">
        <f aca="true" t="shared" si="6" ref="J19:S19">SUM(J20:J21)</f>
        <v>13</v>
      </c>
      <c r="K19" s="55">
        <f t="shared" si="6"/>
        <v>40</v>
      </c>
      <c r="L19" s="55">
        <f t="shared" si="6"/>
        <v>102</v>
      </c>
      <c r="M19" s="55">
        <f t="shared" si="6"/>
        <v>130</v>
      </c>
      <c r="N19" s="55">
        <f t="shared" si="6"/>
        <v>69</v>
      </c>
      <c r="O19" s="55">
        <f t="shared" si="6"/>
        <v>7</v>
      </c>
      <c r="P19" s="55">
        <f t="shared" si="6"/>
        <v>107</v>
      </c>
      <c r="Q19" s="55">
        <f t="shared" si="6"/>
        <v>255</v>
      </c>
      <c r="R19" s="55">
        <f t="shared" si="6"/>
        <v>0</v>
      </c>
      <c r="S19" s="55">
        <f t="shared" si="6"/>
        <v>0</v>
      </c>
    </row>
    <row r="20" spans="1:19" s="93" customFormat="1" ht="13.5" customHeight="1">
      <c r="A20" s="542"/>
      <c r="B20" s="492"/>
      <c r="C20" s="143" t="s">
        <v>703</v>
      </c>
      <c r="D20" s="24">
        <v>351</v>
      </c>
      <c r="E20" s="10">
        <v>299</v>
      </c>
      <c r="F20" s="10">
        <v>52</v>
      </c>
      <c r="G20" s="10">
        <v>50</v>
      </c>
      <c r="H20" s="10">
        <v>0</v>
      </c>
      <c r="I20" s="10">
        <v>1</v>
      </c>
      <c r="J20" s="10">
        <v>13</v>
      </c>
      <c r="K20" s="10">
        <v>37</v>
      </c>
      <c r="L20" s="10">
        <v>98</v>
      </c>
      <c r="M20" s="10">
        <v>127</v>
      </c>
      <c r="N20" s="10">
        <v>68</v>
      </c>
      <c r="O20" s="10">
        <v>7</v>
      </c>
      <c r="P20" s="10">
        <v>100</v>
      </c>
      <c r="Q20" s="10">
        <v>251</v>
      </c>
      <c r="R20" s="10">
        <v>0</v>
      </c>
      <c r="S20" s="10">
        <v>0</v>
      </c>
    </row>
    <row r="21" spans="1:19" s="93" customFormat="1" ht="13.5" customHeight="1">
      <c r="A21" s="542"/>
      <c r="B21" s="493"/>
      <c r="C21" s="143" t="s">
        <v>704</v>
      </c>
      <c r="D21" s="24">
        <v>11</v>
      </c>
      <c r="E21" s="10">
        <v>10</v>
      </c>
      <c r="F21" s="10">
        <v>1</v>
      </c>
      <c r="G21" s="10">
        <v>48</v>
      </c>
      <c r="H21" s="10">
        <v>0</v>
      </c>
      <c r="I21" s="10">
        <v>0</v>
      </c>
      <c r="J21" s="10">
        <v>0</v>
      </c>
      <c r="K21" s="10">
        <v>3</v>
      </c>
      <c r="L21" s="10">
        <v>4</v>
      </c>
      <c r="M21" s="10">
        <v>3</v>
      </c>
      <c r="N21" s="10">
        <v>1</v>
      </c>
      <c r="O21" s="10">
        <v>0</v>
      </c>
      <c r="P21" s="10">
        <v>7</v>
      </c>
      <c r="Q21" s="10">
        <v>4</v>
      </c>
      <c r="R21" s="10">
        <v>0</v>
      </c>
      <c r="S21" s="10">
        <v>0</v>
      </c>
    </row>
    <row r="22" spans="1:19" s="93" customFormat="1" ht="13.5" customHeight="1">
      <c r="A22" s="542"/>
      <c r="B22" s="507" t="s">
        <v>535</v>
      </c>
      <c r="C22" s="234" t="s">
        <v>687</v>
      </c>
      <c r="D22" s="54">
        <v>93</v>
      </c>
      <c r="E22" s="55">
        <v>78</v>
      </c>
      <c r="F22" s="55">
        <v>15</v>
      </c>
      <c r="G22" s="55">
        <v>49</v>
      </c>
      <c r="H22" s="55">
        <f>SUM(H23:H24)</f>
        <v>0</v>
      </c>
      <c r="I22" s="55">
        <f aca="true" t="shared" si="7" ref="I22:S22">SUM(I23:I24)</f>
        <v>2</v>
      </c>
      <c r="J22" s="55">
        <f t="shared" si="7"/>
        <v>5</v>
      </c>
      <c r="K22" s="55">
        <f t="shared" si="7"/>
        <v>7</v>
      </c>
      <c r="L22" s="55">
        <f t="shared" si="7"/>
        <v>25</v>
      </c>
      <c r="M22" s="55">
        <f t="shared" si="7"/>
        <v>33</v>
      </c>
      <c r="N22" s="55">
        <f t="shared" si="7"/>
        <v>20</v>
      </c>
      <c r="O22" s="55">
        <f t="shared" si="7"/>
        <v>1</v>
      </c>
      <c r="P22" s="55">
        <f t="shared" si="7"/>
        <v>39</v>
      </c>
      <c r="Q22" s="55">
        <f t="shared" si="7"/>
        <v>52</v>
      </c>
      <c r="R22" s="55">
        <f t="shared" si="7"/>
        <v>2</v>
      </c>
      <c r="S22" s="55">
        <f t="shared" si="7"/>
        <v>0</v>
      </c>
    </row>
    <row r="23" spans="1:19" s="93" customFormat="1" ht="13.5" customHeight="1">
      <c r="A23" s="538" t="s">
        <v>585</v>
      </c>
      <c r="B23" s="516"/>
      <c r="C23" s="124" t="s">
        <v>688</v>
      </c>
      <c r="D23" s="24">
        <v>89</v>
      </c>
      <c r="E23" s="10">
        <v>74</v>
      </c>
      <c r="F23" s="10">
        <v>15</v>
      </c>
      <c r="G23" s="10">
        <v>49</v>
      </c>
      <c r="H23" s="10">
        <v>0</v>
      </c>
      <c r="I23" s="10">
        <v>2</v>
      </c>
      <c r="J23" s="10">
        <v>5</v>
      </c>
      <c r="K23" s="10">
        <v>6</v>
      </c>
      <c r="L23" s="10">
        <v>22</v>
      </c>
      <c r="M23" s="10">
        <v>33</v>
      </c>
      <c r="N23" s="10">
        <v>20</v>
      </c>
      <c r="O23" s="10">
        <v>1</v>
      </c>
      <c r="P23" s="10">
        <v>35</v>
      </c>
      <c r="Q23" s="10">
        <v>52</v>
      </c>
      <c r="R23" s="10">
        <v>2</v>
      </c>
      <c r="S23" s="10">
        <v>0</v>
      </c>
    </row>
    <row r="24" spans="1:19" s="93" customFormat="1" ht="13.5" customHeight="1">
      <c r="A24" s="538"/>
      <c r="B24" s="517"/>
      <c r="C24" s="235" t="s">
        <v>689</v>
      </c>
      <c r="D24" s="24">
        <v>4</v>
      </c>
      <c r="E24" s="10">
        <v>4</v>
      </c>
      <c r="F24" s="10">
        <v>0</v>
      </c>
      <c r="G24" s="10">
        <v>46</v>
      </c>
      <c r="H24" s="10">
        <v>0</v>
      </c>
      <c r="I24" s="10">
        <v>0</v>
      </c>
      <c r="J24" s="10">
        <v>0</v>
      </c>
      <c r="K24" s="10">
        <v>1</v>
      </c>
      <c r="L24" s="10">
        <v>3</v>
      </c>
      <c r="M24" s="10">
        <v>0</v>
      </c>
      <c r="N24" s="10">
        <v>0</v>
      </c>
      <c r="O24" s="10">
        <v>0</v>
      </c>
      <c r="P24" s="10">
        <v>4</v>
      </c>
      <c r="Q24" s="10">
        <v>0</v>
      </c>
      <c r="R24" s="10">
        <v>0</v>
      </c>
      <c r="S24" s="10">
        <v>0</v>
      </c>
    </row>
    <row r="25" spans="1:19" s="93" customFormat="1" ht="13.5" customHeight="1">
      <c r="A25" s="538"/>
      <c r="B25" s="491" t="s">
        <v>536</v>
      </c>
      <c r="C25" s="234" t="s">
        <v>687</v>
      </c>
      <c r="D25" s="54">
        <v>100</v>
      </c>
      <c r="E25" s="55">
        <v>91</v>
      </c>
      <c r="F25" s="55">
        <v>9</v>
      </c>
      <c r="G25" s="55">
        <v>47</v>
      </c>
      <c r="H25" s="55">
        <f>SUM(H26:H27)</f>
        <v>0</v>
      </c>
      <c r="I25" s="55">
        <f aca="true" t="shared" si="8" ref="I25:S25">SUM(I26:I27)</f>
        <v>0</v>
      </c>
      <c r="J25" s="55">
        <f t="shared" si="8"/>
        <v>8</v>
      </c>
      <c r="K25" s="55">
        <f t="shared" si="8"/>
        <v>13</v>
      </c>
      <c r="L25" s="55">
        <f t="shared" si="8"/>
        <v>40</v>
      </c>
      <c r="M25" s="55">
        <f t="shared" si="8"/>
        <v>28</v>
      </c>
      <c r="N25" s="55">
        <f t="shared" si="8"/>
        <v>11</v>
      </c>
      <c r="O25" s="55">
        <f t="shared" si="8"/>
        <v>0</v>
      </c>
      <c r="P25" s="55">
        <f t="shared" si="8"/>
        <v>55</v>
      </c>
      <c r="Q25" s="55">
        <f t="shared" si="8"/>
        <v>45</v>
      </c>
      <c r="R25" s="55">
        <f t="shared" si="8"/>
        <v>0</v>
      </c>
      <c r="S25" s="55">
        <f t="shared" si="8"/>
        <v>0</v>
      </c>
    </row>
    <row r="26" spans="1:19" s="93" customFormat="1" ht="13.5" customHeight="1">
      <c r="A26" s="538"/>
      <c r="B26" s="492"/>
      <c r="C26" s="124" t="s">
        <v>688</v>
      </c>
      <c r="D26" s="64">
        <v>97</v>
      </c>
      <c r="E26" s="49">
        <v>88</v>
      </c>
      <c r="F26" s="58">
        <v>9</v>
      </c>
      <c r="G26" s="49">
        <v>47</v>
      </c>
      <c r="H26" s="49">
        <v>0</v>
      </c>
      <c r="I26" s="49">
        <v>0</v>
      </c>
      <c r="J26" s="59">
        <v>8</v>
      </c>
      <c r="K26" s="58">
        <v>13</v>
      </c>
      <c r="L26" s="58">
        <v>38</v>
      </c>
      <c r="M26" s="58">
        <v>27</v>
      </c>
      <c r="N26" s="58">
        <v>11</v>
      </c>
      <c r="O26" s="58">
        <v>0</v>
      </c>
      <c r="P26" s="58">
        <v>52</v>
      </c>
      <c r="Q26" s="58">
        <v>45</v>
      </c>
      <c r="R26" s="58">
        <v>0</v>
      </c>
      <c r="S26" s="58">
        <v>0</v>
      </c>
    </row>
    <row r="27" spans="1:19" s="93" customFormat="1" ht="13.5" customHeight="1">
      <c r="A27" s="538"/>
      <c r="B27" s="493"/>
      <c r="C27" s="235" t="s">
        <v>689</v>
      </c>
      <c r="D27" s="64">
        <v>3</v>
      </c>
      <c r="E27" s="49">
        <v>3</v>
      </c>
      <c r="F27" s="58">
        <v>0</v>
      </c>
      <c r="G27" s="49">
        <v>47</v>
      </c>
      <c r="H27" s="49">
        <v>0</v>
      </c>
      <c r="I27" s="49">
        <v>0</v>
      </c>
      <c r="J27" s="59">
        <v>0</v>
      </c>
      <c r="K27" s="58">
        <v>0</v>
      </c>
      <c r="L27" s="58">
        <v>2</v>
      </c>
      <c r="M27" s="58">
        <v>1</v>
      </c>
      <c r="N27" s="58">
        <v>0</v>
      </c>
      <c r="O27" s="58">
        <v>0</v>
      </c>
      <c r="P27" s="58">
        <v>3</v>
      </c>
      <c r="Q27" s="58">
        <v>0</v>
      </c>
      <c r="R27" s="58">
        <v>0</v>
      </c>
      <c r="S27" s="58">
        <v>0</v>
      </c>
    </row>
    <row r="28" spans="1:19" s="93" customFormat="1" ht="13.5" customHeight="1">
      <c r="A28" s="538"/>
      <c r="B28" s="491" t="s">
        <v>537</v>
      </c>
      <c r="C28" s="234" t="s">
        <v>687</v>
      </c>
      <c r="D28" s="54">
        <v>82</v>
      </c>
      <c r="E28" s="55">
        <v>65</v>
      </c>
      <c r="F28" s="55">
        <v>17</v>
      </c>
      <c r="G28" s="55">
        <v>48</v>
      </c>
      <c r="H28" s="55">
        <f>SUM(H29:H30)</f>
        <v>0</v>
      </c>
      <c r="I28" s="55">
        <f aca="true" t="shared" si="9" ref="I28:S28">SUM(I29:I30)</f>
        <v>0</v>
      </c>
      <c r="J28" s="55">
        <f t="shared" si="9"/>
        <v>7</v>
      </c>
      <c r="K28" s="55">
        <f t="shared" si="9"/>
        <v>18</v>
      </c>
      <c r="L28" s="55">
        <f t="shared" si="9"/>
        <v>21</v>
      </c>
      <c r="M28" s="55">
        <f t="shared" si="9"/>
        <v>25</v>
      </c>
      <c r="N28" s="55">
        <f t="shared" si="9"/>
        <v>9</v>
      </c>
      <c r="O28" s="55">
        <f t="shared" si="9"/>
        <v>2</v>
      </c>
      <c r="P28" s="55">
        <f t="shared" si="9"/>
        <v>45</v>
      </c>
      <c r="Q28" s="55">
        <f t="shared" si="9"/>
        <v>37</v>
      </c>
      <c r="R28" s="55">
        <f t="shared" si="9"/>
        <v>0</v>
      </c>
      <c r="S28" s="55">
        <f t="shared" si="9"/>
        <v>0</v>
      </c>
    </row>
    <row r="29" spans="1:20" s="93" customFormat="1" ht="13.5" customHeight="1">
      <c r="A29" s="538"/>
      <c r="B29" s="492"/>
      <c r="C29" s="124" t="s">
        <v>688</v>
      </c>
      <c r="D29" s="64">
        <v>81</v>
      </c>
      <c r="E29" s="49">
        <v>64</v>
      </c>
      <c r="F29" s="58">
        <v>17</v>
      </c>
      <c r="G29" s="49">
        <v>48</v>
      </c>
      <c r="H29" s="49">
        <v>0</v>
      </c>
      <c r="I29" s="49">
        <v>0</v>
      </c>
      <c r="J29" s="59">
        <v>7</v>
      </c>
      <c r="K29" s="58">
        <v>17</v>
      </c>
      <c r="L29" s="58">
        <v>21</v>
      </c>
      <c r="M29" s="58">
        <v>25</v>
      </c>
      <c r="N29" s="58">
        <v>9</v>
      </c>
      <c r="O29" s="58">
        <v>2</v>
      </c>
      <c r="P29" s="58">
        <v>45</v>
      </c>
      <c r="Q29" s="58">
        <v>36</v>
      </c>
      <c r="R29" s="58">
        <v>0</v>
      </c>
      <c r="S29" s="58">
        <v>0</v>
      </c>
      <c r="T29" s="94"/>
    </row>
    <row r="30" spans="1:20" s="93" customFormat="1" ht="13.5" customHeight="1">
      <c r="A30" s="545"/>
      <c r="B30" s="492"/>
      <c r="C30" s="235" t="s">
        <v>689</v>
      </c>
      <c r="D30" s="64">
        <v>1</v>
      </c>
      <c r="E30" s="49">
        <v>1</v>
      </c>
      <c r="F30" s="58">
        <v>0</v>
      </c>
      <c r="G30" s="49">
        <v>44</v>
      </c>
      <c r="H30" s="49">
        <v>0</v>
      </c>
      <c r="I30" s="49">
        <v>0</v>
      </c>
      <c r="J30" s="59">
        <v>0</v>
      </c>
      <c r="K30" s="58">
        <v>1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1</v>
      </c>
      <c r="R30" s="58">
        <v>0</v>
      </c>
      <c r="S30" s="58">
        <v>0</v>
      </c>
      <c r="T30" s="94"/>
    </row>
    <row r="31" spans="1:19" ht="13.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</row>
    <row r="32" spans="1:19" ht="13.5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9" ht="13.5" customHeight="1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>
      <c r="A44" s="329"/>
    </row>
    <row r="45" ht="13.5" customHeight="1"/>
    <row r="46" ht="13.5" customHeight="1"/>
    <row r="47" ht="13.5" customHeight="1"/>
    <row r="48" ht="13.5" customHeight="1"/>
    <row r="51" spans="1:19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.75">
      <c r="A54" s="573" t="str">
        <f>"- "&amp;Sheet1!H34&amp;" -"</f>
        <v>- 228 -</v>
      </c>
      <c r="B54" s="573"/>
      <c r="C54" s="573"/>
      <c r="D54" s="573"/>
      <c r="E54" s="573"/>
      <c r="F54" s="573"/>
      <c r="G54" s="573"/>
      <c r="H54" s="573"/>
      <c r="I54" s="573"/>
      <c r="J54" s="573" t="str">
        <f>"- "&amp;Sheet1!I34&amp;" -"</f>
        <v>- 229 -</v>
      </c>
      <c r="K54" s="573"/>
      <c r="L54" s="573"/>
      <c r="M54" s="573"/>
      <c r="N54" s="573"/>
      <c r="O54" s="573"/>
      <c r="P54" s="573"/>
      <c r="Q54" s="573"/>
      <c r="R54" s="573"/>
      <c r="S54" s="573"/>
    </row>
    <row r="55" spans="1:19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</sheetData>
  <sheetProtection/>
  <mergeCells count="26">
    <mergeCell ref="P5:S5"/>
    <mergeCell ref="G5:G6"/>
    <mergeCell ref="E5:E6"/>
    <mergeCell ref="A1:I1"/>
    <mergeCell ref="J1:S1"/>
    <mergeCell ref="D5:D6"/>
    <mergeCell ref="F5:F6"/>
    <mergeCell ref="K5:O5"/>
    <mergeCell ref="H5:J5"/>
    <mergeCell ref="A54:I54"/>
    <mergeCell ref="J54:S54"/>
    <mergeCell ref="C3:H3"/>
    <mergeCell ref="L3:R3"/>
    <mergeCell ref="B16:B18"/>
    <mergeCell ref="B19:B21"/>
    <mergeCell ref="A5:C6"/>
    <mergeCell ref="B7:B9"/>
    <mergeCell ref="A23:A30"/>
    <mergeCell ref="B22:B24"/>
    <mergeCell ref="B25:B27"/>
    <mergeCell ref="B28:B30"/>
    <mergeCell ref="A7:A10"/>
    <mergeCell ref="A11:A15"/>
    <mergeCell ref="A16:A22"/>
    <mergeCell ref="B10:B12"/>
    <mergeCell ref="B13:B15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Layout" zoomScaleSheetLayoutView="85" workbookViewId="0" topLeftCell="A37">
      <selection activeCell="A61" sqref="A61:L61"/>
    </sheetView>
  </sheetViews>
  <sheetFormatPr defaultColWidth="9.00390625" defaultRowHeight="16.5"/>
  <cols>
    <col min="1" max="1" width="2.125" style="38" customWidth="1"/>
    <col min="2" max="3" width="3.50390625" style="38" customWidth="1"/>
    <col min="4" max="4" width="4.50390625" style="38" customWidth="1"/>
    <col min="5" max="5" width="11.875" style="37" customWidth="1"/>
    <col min="6" max="6" width="8.25390625" style="38" customWidth="1"/>
    <col min="7" max="8" width="9.75390625" style="73" customWidth="1"/>
    <col min="9" max="9" width="10.25390625" style="73" customWidth="1"/>
    <col min="10" max="10" width="9.75390625" style="72" customWidth="1"/>
    <col min="11" max="11" width="9.375" style="72" customWidth="1"/>
    <col min="12" max="12" width="9.375" style="71" customWidth="1"/>
    <col min="13" max="16384" width="9.00390625" style="37" customWidth="1"/>
  </cols>
  <sheetData>
    <row r="1" spans="1:12" ht="16.5">
      <c r="A1" s="384" t="s">
        <v>1005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12" customHeight="1">
      <c r="A2" s="382" t="s">
        <v>193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2.25" customHeight="1">
      <c r="A3" s="121"/>
      <c r="B3" s="121"/>
      <c r="C3" s="109"/>
      <c r="D3" s="109"/>
      <c r="E3" s="109"/>
      <c r="F3" s="109"/>
      <c r="G3" s="148"/>
      <c r="H3" s="148"/>
      <c r="I3" s="148"/>
      <c r="J3" s="154"/>
      <c r="K3" s="154"/>
      <c r="L3" s="154"/>
    </row>
    <row r="4" spans="1:12" ht="12" customHeight="1">
      <c r="A4" s="380" t="s">
        <v>464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12" customHeight="1">
      <c r="A5" s="381">
        <v>2011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</row>
    <row r="6" spans="1:12" s="39" customFormat="1" ht="6" customHeight="1">
      <c r="A6" s="4"/>
      <c r="B6" s="149"/>
      <c r="C6" s="149"/>
      <c r="D6" s="149"/>
      <c r="E6" s="149"/>
      <c r="F6" s="149"/>
      <c r="G6" s="150"/>
      <c r="H6" s="150"/>
      <c r="I6" s="150"/>
      <c r="J6" s="155"/>
      <c r="K6" s="155"/>
      <c r="L6" s="155"/>
    </row>
    <row r="7" spans="1:12" s="40" customFormat="1" ht="16.5" customHeight="1">
      <c r="A7" s="375" t="s">
        <v>237</v>
      </c>
      <c r="B7" s="375"/>
      <c r="C7" s="375"/>
      <c r="D7" s="375"/>
      <c r="E7" s="375"/>
      <c r="F7" s="376"/>
      <c r="G7" s="363" t="s">
        <v>445</v>
      </c>
      <c r="H7" s="367" t="s">
        <v>444</v>
      </c>
      <c r="I7" s="365" t="s">
        <v>995</v>
      </c>
      <c r="J7" s="447" t="s">
        <v>443</v>
      </c>
      <c r="K7" s="447" t="s">
        <v>442</v>
      </c>
      <c r="L7" s="447" t="s">
        <v>251</v>
      </c>
    </row>
    <row r="8" spans="1:12" s="41" customFormat="1" ht="41.25" customHeight="1">
      <c r="A8" s="377"/>
      <c r="B8" s="377"/>
      <c r="C8" s="377"/>
      <c r="D8" s="377"/>
      <c r="E8" s="377"/>
      <c r="F8" s="378"/>
      <c r="G8" s="364"/>
      <c r="H8" s="368"/>
      <c r="I8" s="366"/>
      <c r="J8" s="448"/>
      <c r="K8" s="448"/>
      <c r="L8" s="448"/>
    </row>
    <row r="9" spans="1:12" s="40" customFormat="1" ht="14.25" customHeight="1">
      <c r="A9" s="383" t="s">
        <v>996</v>
      </c>
      <c r="B9" s="369"/>
      <c r="C9" s="369"/>
      <c r="D9" s="369"/>
      <c r="E9" s="370"/>
      <c r="F9" s="151" t="s">
        <v>834</v>
      </c>
      <c r="G9" s="214">
        <v>97370</v>
      </c>
      <c r="H9" s="214">
        <v>3685567</v>
      </c>
      <c r="I9" s="214">
        <v>12743206</v>
      </c>
      <c r="J9" s="297">
        <v>100</v>
      </c>
      <c r="K9" s="297">
        <f>H9/G9</f>
        <v>37.851155386669404</v>
      </c>
      <c r="L9" s="297">
        <f>I9/G9</f>
        <v>130.87404744787924</v>
      </c>
    </row>
    <row r="10" spans="1:12" s="40" customFormat="1" ht="14.25" customHeight="1">
      <c r="A10" s="371"/>
      <c r="B10" s="371"/>
      <c r="C10" s="371"/>
      <c r="D10" s="371"/>
      <c r="E10" s="372"/>
      <c r="F10" s="152" t="s">
        <v>835</v>
      </c>
      <c r="G10" s="215">
        <v>50856</v>
      </c>
      <c r="H10" s="215">
        <v>1867010</v>
      </c>
      <c r="I10" s="215">
        <v>7209540</v>
      </c>
      <c r="J10" s="298">
        <v>100</v>
      </c>
      <c r="K10" s="298">
        <f aca="true" t="shared" si="0" ref="K10:K44">H10/G10</f>
        <v>36.71169576844424</v>
      </c>
      <c r="L10" s="298">
        <f aca="true" t="shared" si="1" ref="L10:L44">I10/G10</f>
        <v>141.7638036809816</v>
      </c>
    </row>
    <row r="11" spans="1:12" s="40" customFormat="1" ht="14.25" customHeight="1">
      <c r="A11" s="373"/>
      <c r="B11" s="373"/>
      <c r="C11" s="373"/>
      <c r="D11" s="373"/>
      <c r="E11" s="374"/>
      <c r="F11" s="152" t="s">
        <v>836</v>
      </c>
      <c r="G11" s="216">
        <v>46514</v>
      </c>
      <c r="H11" s="215">
        <v>1818557</v>
      </c>
      <c r="I11" s="216">
        <v>5533666</v>
      </c>
      <c r="J11" s="299">
        <v>100</v>
      </c>
      <c r="K11" s="299">
        <f t="shared" si="0"/>
        <v>39.09698155394075</v>
      </c>
      <c r="L11" s="299">
        <f t="shared" si="1"/>
        <v>118.96775164466612</v>
      </c>
    </row>
    <row r="12" spans="1:12" s="40" customFormat="1" ht="14.25" customHeight="1">
      <c r="A12" s="416" t="s">
        <v>837</v>
      </c>
      <c r="B12" s="418" t="s">
        <v>841</v>
      </c>
      <c r="C12" s="405"/>
      <c r="D12" s="405"/>
      <c r="E12" s="406"/>
      <c r="F12" s="151" t="s">
        <v>834</v>
      </c>
      <c r="G12" s="217">
        <v>96344</v>
      </c>
      <c r="H12" s="214">
        <v>2708017</v>
      </c>
      <c r="I12" s="217">
        <v>9775321</v>
      </c>
      <c r="J12" s="297">
        <f>ROUND(G12/$G$9*100,1)</f>
        <v>98.9</v>
      </c>
      <c r="K12" s="297">
        <f t="shared" si="0"/>
        <v>28.10779083284896</v>
      </c>
      <c r="L12" s="297">
        <f t="shared" si="1"/>
        <v>101.46268579257661</v>
      </c>
    </row>
    <row r="13" spans="1:12" s="40" customFormat="1" ht="14.25" customHeight="1">
      <c r="A13" s="417"/>
      <c r="B13" s="419"/>
      <c r="C13" s="407"/>
      <c r="D13" s="407"/>
      <c r="E13" s="408"/>
      <c r="F13" s="152" t="s">
        <v>835</v>
      </c>
      <c r="G13" s="215">
        <v>50263</v>
      </c>
      <c r="H13" s="218">
        <v>1375935</v>
      </c>
      <c r="I13" s="218">
        <v>5681996</v>
      </c>
      <c r="J13" s="298">
        <f>ROUND(G13/$G$10*100,1)</f>
        <v>98.8</v>
      </c>
      <c r="K13" s="298">
        <f t="shared" si="0"/>
        <v>27.374709030499574</v>
      </c>
      <c r="L13" s="298">
        <f t="shared" si="1"/>
        <v>113.04530171298967</v>
      </c>
    </row>
    <row r="14" spans="1:12" s="40" customFormat="1" ht="14.25" customHeight="1">
      <c r="A14" s="417"/>
      <c r="B14" s="420"/>
      <c r="C14" s="409"/>
      <c r="D14" s="409"/>
      <c r="E14" s="410"/>
      <c r="F14" s="152" t="s">
        <v>836</v>
      </c>
      <c r="G14" s="217">
        <v>46081</v>
      </c>
      <c r="H14" s="219">
        <v>1332082</v>
      </c>
      <c r="I14" s="219">
        <v>4093325</v>
      </c>
      <c r="J14" s="299">
        <f>ROUND(G14/$G$11*100,1)</f>
        <v>99.1</v>
      </c>
      <c r="K14" s="299">
        <f t="shared" si="0"/>
        <v>28.907402183112346</v>
      </c>
      <c r="L14" s="299">
        <f t="shared" si="1"/>
        <v>88.82890996289143</v>
      </c>
    </row>
    <row r="15" spans="1:12" s="40" customFormat="1" ht="14.25" customHeight="1">
      <c r="A15" s="417"/>
      <c r="B15" s="395" t="s">
        <v>997</v>
      </c>
      <c r="C15" s="396"/>
      <c r="D15" s="396"/>
      <c r="E15" s="397"/>
      <c r="F15" s="151" t="s">
        <v>834</v>
      </c>
      <c r="G15" s="214">
        <v>4716</v>
      </c>
      <c r="H15" s="214">
        <v>4931</v>
      </c>
      <c r="I15" s="214">
        <v>746019</v>
      </c>
      <c r="J15" s="297">
        <f>ROUND(G15/$G$9*100,1)</f>
        <v>4.8</v>
      </c>
      <c r="K15" s="297">
        <f t="shared" si="0"/>
        <v>1.0455894826123833</v>
      </c>
      <c r="L15" s="297">
        <f t="shared" si="1"/>
        <v>158.18893129770993</v>
      </c>
    </row>
    <row r="16" spans="1:12" s="40" customFormat="1" ht="14.25" customHeight="1">
      <c r="A16" s="417"/>
      <c r="B16" s="385"/>
      <c r="C16" s="386"/>
      <c r="D16" s="386"/>
      <c r="E16" s="387"/>
      <c r="F16" s="152" t="s">
        <v>835</v>
      </c>
      <c r="G16" s="215">
        <v>2116</v>
      </c>
      <c r="H16" s="215">
        <v>2205</v>
      </c>
      <c r="I16" s="215">
        <v>377963</v>
      </c>
      <c r="J16" s="298">
        <f>ROUND(G16/$G$10*100,1)</f>
        <v>4.2</v>
      </c>
      <c r="K16" s="298">
        <f t="shared" si="0"/>
        <v>1.0420604914933838</v>
      </c>
      <c r="L16" s="298">
        <f t="shared" si="1"/>
        <v>178.62145557655955</v>
      </c>
    </row>
    <row r="17" spans="1:12" s="40" customFormat="1" ht="14.25" customHeight="1">
      <c r="A17" s="417"/>
      <c r="B17" s="388"/>
      <c r="C17" s="389"/>
      <c r="D17" s="389"/>
      <c r="E17" s="390"/>
      <c r="F17" s="152" t="s">
        <v>836</v>
      </c>
      <c r="G17" s="216">
        <v>2600</v>
      </c>
      <c r="H17" s="216">
        <v>2726</v>
      </c>
      <c r="I17" s="216">
        <v>368056</v>
      </c>
      <c r="J17" s="299">
        <f>ROUND(G17/$G$11*100,1)</f>
        <v>5.6</v>
      </c>
      <c r="K17" s="299">
        <f t="shared" si="0"/>
        <v>1.0484615384615386</v>
      </c>
      <c r="L17" s="299">
        <f t="shared" si="1"/>
        <v>141.56</v>
      </c>
    </row>
    <row r="18" spans="1:12" s="40" customFormat="1" ht="14.25" customHeight="1">
      <c r="A18" s="417"/>
      <c r="B18" s="418" t="s">
        <v>998</v>
      </c>
      <c r="C18" s="405"/>
      <c r="D18" s="405"/>
      <c r="E18" s="406"/>
      <c r="F18" s="151" t="s">
        <v>834</v>
      </c>
      <c r="G18" s="214">
        <v>66</v>
      </c>
      <c r="H18" s="214">
        <v>197</v>
      </c>
      <c r="I18" s="214">
        <v>3614</v>
      </c>
      <c r="J18" s="297">
        <f>ROUND(G18/$G$9*100,1)</f>
        <v>0.1</v>
      </c>
      <c r="K18" s="297">
        <f t="shared" si="0"/>
        <v>2.984848484848485</v>
      </c>
      <c r="L18" s="297">
        <f t="shared" si="1"/>
        <v>54.75757575757576</v>
      </c>
    </row>
    <row r="19" spans="1:12" s="40" customFormat="1" ht="14.25" customHeight="1">
      <c r="A19" s="417"/>
      <c r="B19" s="419"/>
      <c r="C19" s="407"/>
      <c r="D19" s="407"/>
      <c r="E19" s="408"/>
      <c r="F19" s="152" t="s">
        <v>835</v>
      </c>
      <c r="G19" s="215">
        <v>57</v>
      </c>
      <c r="H19" s="215">
        <v>168</v>
      </c>
      <c r="I19" s="215">
        <v>3270</v>
      </c>
      <c r="J19" s="298">
        <f>ROUND(G19/$G$10*100,1)</f>
        <v>0.1</v>
      </c>
      <c r="K19" s="298">
        <f t="shared" si="0"/>
        <v>2.9473684210526314</v>
      </c>
      <c r="L19" s="298">
        <f t="shared" si="1"/>
        <v>57.36842105263158</v>
      </c>
    </row>
    <row r="20" spans="1:12" s="40" customFormat="1" ht="14.25" customHeight="1">
      <c r="A20" s="417"/>
      <c r="B20" s="420"/>
      <c r="C20" s="409"/>
      <c r="D20" s="409"/>
      <c r="E20" s="410"/>
      <c r="F20" s="152" t="s">
        <v>836</v>
      </c>
      <c r="G20" s="216">
        <v>9</v>
      </c>
      <c r="H20" s="216">
        <v>29</v>
      </c>
      <c r="I20" s="216">
        <v>344</v>
      </c>
      <c r="J20" s="318">
        <f>ROUND(G20/$G$11*100,1)</f>
        <v>0</v>
      </c>
      <c r="K20" s="299">
        <f t="shared" si="0"/>
        <v>3.2222222222222223</v>
      </c>
      <c r="L20" s="299">
        <f t="shared" si="1"/>
        <v>38.22222222222222</v>
      </c>
    </row>
    <row r="21" spans="1:12" s="40" customFormat="1" ht="14.25" customHeight="1">
      <c r="A21" s="417"/>
      <c r="B21" s="418" t="s">
        <v>838</v>
      </c>
      <c r="C21" s="405"/>
      <c r="D21" s="405"/>
      <c r="E21" s="406"/>
      <c r="F21" s="151" t="s">
        <v>834</v>
      </c>
      <c r="G21" s="217">
        <v>658</v>
      </c>
      <c r="H21" s="217">
        <v>658</v>
      </c>
      <c r="I21" s="217">
        <v>98405</v>
      </c>
      <c r="J21" s="297">
        <f>ROUND(G21/$G$9*100,1)</f>
        <v>0.7</v>
      </c>
      <c r="K21" s="297">
        <f t="shared" si="0"/>
        <v>1</v>
      </c>
      <c r="L21" s="297">
        <f t="shared" si="1"/>
        <v>149.5516717325228</v>
      </c>
    </row>
    <row r="22" spans="1:12" s="40" customFormat="1" ht="14.25">
      <c r="A22" s="422" t="s">
        <v>440</v>
      </c>
      <c r="B22" s="419"/>
      <c r="C22" s="407"/>
      <c r="D22" s="407"/>
      <c r="E22" s="408"/>
      <c r="F22" s="152" t="s">
        <v>835</v>
      </c>
      <c r="G22" s="217">
        <v>382</v>
      </c>
      <c r="H22" s="217">
        <v>382</v>
      </c>
      <c r="I22" s="217">
        <v>57128</v>
      </c>
      <c r="J22" s="298">
        <f>ROUND(G22/$G$10*100,1)</f>
        <v>0.8</v>
      </c>
      <c r="K22" s="298">
        <f t="shared" si="0"/>
        <v>1</v>
      </c>
      <c r="L22" s="298">
        <f t="shared" si="1"/>
        <v>149.5497382198953</v>
      </c>
    </row>
    <row r="23" spans="1:12" s="40" customFormat="1" ht="14.25">
      <c r="A23" s="435"/>
      <c r="B23" s="420"/>
      <c r="C23" s="409"/>
      <c r="D23" s="409"/>
      <c r="E23" s="410"/>
      <c r="F23" s="152" t="s">
        <v>836</v>
      </c>
      <c r="G23" s="217">
        <v>276</v>
      </c>
      <c r="H23" s="217">
        <v>276</v>
      </c>
      <c r="I23" s="217">
        <v>41277</v>
      </c>
      <c r="J23" s="299">
        <f>ROUND(G23/$G$11*100,1)</f>
        <v>0.6</v>
      </c>
      <c r="K23" s="299">
        <f t="shared" si="0"/>
        <v>1</v>
      </c>
      <c r="L23" s="299">
        <f t="shared" si="1"/>
        <v>149.55434782608697</v>
      </c>
    </row>
    <row r="24" spans="1:12" s="40" customFormat="1" ht="16.5" customHeight="1">
      <c r="A24" s="435"/>
      <c r="B24" s="418" t="s">
        <v>999</v>
      </c>
      <c r="C24" s="405"/>
      <c r="D24" s="405"/>
      <c r="E24" s="406"/>
      <c r="F24" s="151" t="s">
        <v>834</v>
      </c>
      <c r="G24" s="214">
        <v>10</v>
      </c>
      <c r="H24" s="214">
        <v>10</v>
      </c>
      <c r="I24" s="214">
        <v>92</v>
      </c>
      <c r="J24" s="306">
        <f>ROUND(G24/$G$9*100,1)</f>
        <v>0</v>
      </c>
      <c r="K24" s="297">
        <f t="shared" si="0"/>
        <v>1</v>
      </c>
      <c r="L24" s="297">
        <f t="shared" si="1"/>
        <v>9.2</v>
      </c>
    </row>
    <row r="25" spans="1:12" s="40" customFormat="1" ht="16.5" customHeight="1">
      <c r="A25" s="435"/>
      <c r="B25" s="419"/>
      <c r="C25" s="407"/>
      <c r="D25" s="407"/>
      <c r="E25" s="408"/>
      <c r="F25" s="152" t="s">
        <v>835</v>
      </c>
      <c r="G25" s="215">
        <v>2</v>
      </c>
      <c r="H25" s="215">
        <v>2</v>
      </c>
      <c r="I25" s="215">
        <v>6</v>
      </c>
      <c r="J25" s="307">
        <f>ROUND(G25/$G$10*100,1)</f>
        <v>0</v>
      </c>
      <c r="K25" s="298">
        <f t="shared" si="0"/>
        <v>1</v>
      </c>
      <c r="L25" s="298">
        <f t="shared" si="1"/>
        <v>3</v>
      </c>
    </row>
    <row r="26" spans="1:12" s="40" customFormat="1" ht="16.5" customHeight="1">
      <c r="A26" s="435"/>
      <c r="B26" s="420"/>
      <c r="C26" s="409"/>
      <c r="D26" s="409"/>
      <c r="E26" s="410"/>
      <c r="F26" s="152" t="s">
        <v>836</v>
      </c>
      <c r="G26" s="216">
        <v>8</v>
      </c>
      <c r="H26" s="216">
        <v>8</v>
      </c>
      <c r="I26" s="216">
        <v>86</v>
      </c>
      <c r="J26" s="308">
        <f>ROUND(G26/$G$11*100,1)</f>
        <v>0</v>
      </c>
      <c r="K26" s="299">
        <f t="shared" si="0"/>
        <v>1</v>
      </c>
      <c r="L26" s="299">
        <f t="shared" si="1"/>
        <v>10.75</v>
      </c>
    </row>
    <row r="27" spans="1:12" s="40" customFormat="1" ht="14.25" customHeight="1">
      <c r="A27" s="435"/>
      <c r="B27" s="418" t="s">
        <v>839</v>
      </c>
      <c r="C27" s="405"/>
      <c r="D27" s="405"/>
      <c r="E27" s="406"/>
      <c r="F27" s="151" t="s">
        <v>834</v>
      </c>
      <c r="G27" s="217">
        <v>95521</v>
      </c>
      <c r="H27" s="217">
        <v>2075008</v>
      </c>
      <c r="I27" s="217">
        <v>7533308</v>
      </c>
      <c r="J27" s="297">
        <f>ROUND(G27/$G$9*100,1)</f>
        <v>98.1</v>
      </c>
      <c r="K27" s="297">
        <f t="shared" si="0"/>
        <v>21.723055663152604</v>
      </c>
      <c r="L27" s="297">
        <f t="shared" si="1"/>
        <v>78.86546413877576</v>
      </c>
    </row>
    <row r="28" spans="1:12" s="40" customFormat="1" ht="14.25">
      <c r="A28" s="435"/>
      <c r="B28" s="419"/>
      <c r="C28" s="407"/>
      <c r="D28" s="407"/>
      <c r="E28" s="408"/>
      <c r="F28" s="152" t="s">
        <v>835</v>
      </c>
      <c r="G28" s="217">
        <v>49852</v>
      </c>
      <c r="H28" s="217">
        <v>1046215</v>
      </c>
      <c r="I28" s="217">
        <v>4522581</v>
      </c>
      <c r="J28" s="298">
        <f>ROUND(G28/$G$10*100,1)</f>
        <v>98</v>
      </c>
      <c r="K28" s="298">
        <f t="shared" si="0"/>
        <v>20.986419802615742</v>
      </c>
      <c r="L28" s="298">
        <f t="shared" si="1"/>
        <v>90.72015164888069</v>
      </c>
    </row>
    <row r="29" spans="1:12" s="40" customFormat="1" ht="14.25">
      <c r="A29" s="435"/>
      <c r="B29" s="420"/>
      <c r="C29" s="409"/>
      <c r="D29" s="409"/>
      <c r="E29" s="410"/>
      <c r="F29" s="152" t="s">
        <v>836</v>
      </c>
      <c r="G29" s="217">
        <v>45669</v>
      </c>
      <c r="H29" s="217">
        <v>1028793</v>
      </c>
      <c r="I29" s="217">
        <v>3010727</v>
      </c>
      <c r="J29" s="299">
        <f>ROUND(G29/$G$11*100,1)</f>
        <v>98.2</v>
      </c>
      <c r="K29" s="299">
        <f t="shared" si="0"/>
        <v>22.527162845694015</v>
      </c>
      <c r="L29" s="299">
        <f t="shared" si="1"/>
        <v>65.92496003853817</v>
      </c>
    </row>
    <row r="30" spans="1:12" s="40" customFormat="1" ht="14.25" customHeight="1">
      <c r="A30" s="435"/>
      <c r="B30" s="418" t="s">
        <v>840</v>
      </c>
      <c r="C30" s="405"/>
      <c r="D30" s="405"/>
      <c r="E30" s="406"/>
      <c r="F30" s="151" t="s">
        <v>834</v>
      </c>
      <c r="G30" s="214">
        <v>68646</v>
      </c>
      <c r="H30" s="214">
        <v>627213</v>
      </c>
      <c r="I30" s="214">
        <v>1393883</v>
      </c>
      <c r="J30" s="297">
        <f>ROUND(G30/$G$9*100,1)</f>
        <v>70.5</v>
      </c>
      <c r="K30" s="297">
        <f t="shared" si="0"/>
        <v>9.13691984966349</v>
      </c>
      <c r="L30" s="297">
        <f t="shared" si="1"/>
        <v>20.30537831774612</v>
      </c>
    </row>
    <row r="31" spans="1:12" s="40" customFormat="1" ht="14.25">
      <c r="A31" s="435"/>
      <c r="B31" s="419"/>
      <c r="C31" s="407"/>
      <c r="D31" s="407"/>
      <c r="E31" s="408"/>
      <c r="F31" s="152" t="s">
        <v>835</v>
      </c>
      <c r="G31" s="215">
        <v>32898</v>
      </c>
      <c r="H31" s="215">
        <v>326963</v>
      </c>
      <c r="I31" s="215">
        <v>721048</v>
      </c>
      <c r="J31" s="298">
        <f>ROUND(G31/$G$10*100,1)</f>
        <v>64.7</v>
      </c>
      <c r="K31" s="298">
        <f t="shared" si="0"/>
        <v>9.938689282023223</v>
      </c>
      <c r="L31" s="298">
        <f t="shared" si="1"/>
        <v>21.917684965651407</v>
      </c>
    </row>
    <row r="32" spans="1:12" s="40" customFormat="1" ht="14.25">
      <c r="A32" s="436"/>
      <c r="B32" s="420"/>
      <c r="C32" s="409"/>
      <c r="D32" s="409"/>
      <c r="E32" s="410"/>
      <c r="F32" s="152" t="s">
        <v>836</v>
      </c>
      <c r="G32" s="216">
        <v>35748</v>
      </c>
      <c r="H32" s="216">
        <v>300250</v>
      </c>
      <c r="I32" s="216">
        <v>672835</v>
      </c>
      <c r="J32" s="299">
        <f>ROUND(G32/$G$11*100,1)</f>
        <v>76.9</v>
      </c>
      <c r="K32" s="299">
        <f t="shared" si="0"/>
        <v>8.399071276714782</v>
      </c>
      <c r="L32" s="299">
        <f t="shared" si="1"/>
        <v>18.821612397896384</v>
      </c>
    </row>
    <row r="33" spans="1:12" s="40" customFormat="1" ht="14.25" customHeight="1">
      <c r="A33" s="416" t="s">
        <v>395</v>
      </c>
      <c r="B33" s="418" t="s">
        <v>841</v>
      </c>
      <c r="C33" s="405"/>
      <c r="D33" s="405"/>
      <c r="E33" s="406"/>
      <c r="F33" s="151" t="s">
        <v>834</v>
      </c>
      <c r="G33" s="214">
        <v>1083</v>
      </c>
      <c r="H33" s="214">
        <v>4126</v>
      </c>
      <c r="I33" s="214">
        <v>145885</v>
      </c>
      <c r="J33" s="297">
        <f>ROUND(G33/$G$9*100,1)</f>
        <v>1.1</v>
      </c>
      <c r="K33" s="297">
        <f t="shared" si="0"/>
        <v>3.8097876269621422</v>
      </c>
      <c r="L33" s="297">
        <f t="shared" si="1"/>
        <v>134.7045244690674</v>
      </c>
    </row>
    <row r="34" spans="1:12" s="40" customFormat="1" ht="14.25" customHeight="1">
      <c r="A34" s="417"/>
      <c r="B34" s="419"/>
      <c r="C34" s="407"/>
      <c r="D34" s="407"/>
      <c r="E34" s="408"/>
      <c r="F34" s="152" t="s">
        <v>835</v>
      </c>
      <c r="G34" s="215">
        <v>418</v>
      </c>
      <c r="H34" s="215">
        <v>1710</v>
      </c>
      <c r="I34" s="215">
        <v>55438</v>
      </c>
      <c r="J34" s="298">
        <f>ROUND(G34/$G$10*100,1)</f>
        <v>0.8</v>
      </c>
      <c r="K34" s="298">
        <f t="shared" si="0"/>
        <v>4.090909090909091</v>
      </c>
      <c r="L34" s="298">
        <f t="shared" si="1"/>
        <v>132.6267942583732</v>
      </c>
    </row>
    <row r="35" spans="1:12" s="40" customFormat="1" ht="14.25" customHeight="1">
      <c r="A35" s="417"/>
      <c r="B35" s="420"/>
      <c r="C35" s="409"/>
      <c r="D35" s="409"/>
      <c r="E35" s="410"/>
      <c r="F35" s="152" t="s">
        <v>836</v>
      </c>
      <c r="G35" s="216">
        <v>665</v>
      </c>
      <c r="H35" s="216">
        <v>2416</v>
      </c>
      <c r="I35" s="216">
        <v>90447</v>
      </c>
      <c r="J35" s="299">
        <f>ROUND(G35/$G$11*100,1)</f>
        <v>1.4</v>
      </c>
      <c r="K35" s="299">
        <f t="shared" si="0"/>
        <v>3.6330827067669174</v>
      </c>
      <c r="L35" s="299">
        <f t="shared" si="1"/>
        <v>136.01052631578946</v>
      </c>
    </row>
    <row r="36" spans="1:12" s="40" customFormat="1" ht="14.25" customHeight="1">
      <c r="A36" s="417"/>
      <c r="B36" s="418" t="s">
        <v>245</v>
      </c>
      <c r="C36" s="405"/>
      <c r="D36" s="405"/>
      <c r="E36" s="406"/>
      <c r="F36" s="151" t="s">
        <v>834</v>
      </c>
      <c r="G36" s="217">
        <v>1074</v>
      </c>
      <c r="H36" s="217">
        <v>4113</v>
      </c>
      <c r="I36" s="217">
        <v>145163</v>
      </c>
      <c r="J36" s="297">
        <f>ROUND(G36/$G$9*100,1)</f>
        <v>1.1</v>
      </c>
      <c r="K36" s="297">
        <f t="shared" si="0"/>
        <v>3.829608938547486</v>
      </c>
      <c r="L36" s="297">
        <f t="shared" si="1"/>
        <v>135.1610800744879</v>
      </c>
    </row>
    <row r="37" spans="1:12" s="40" customFormat="1" ht="14.25">
      <c r="A37" s="401" t="s">
        <v>241</v>
      </c>
      <c r="B37" s="419"/>
      <c r="C37" s="407"/>
      <c r="D37" s="407"/>
      <c r="E37" s="408"/>
      <c r="F37" s="152" t="s">
        <v>835</v>
      </c>
      <c r="G37" s="217">
        <v>415</v>
      </c>
      <c r="H37" s="217">
        <v>1707</v>
      </c>
      <c r="I37" s="217">
        <v>55330</v>
      </c>
      <c r="J37" s="298">
        <f>ROUND(G37/$G$10*100,1)</f>
        <v>0.8</v>
      </c>
      <c r="K37" s="298">
        <f t="shared" si="0"/>
        <v>4.113253012048193</v>
      </c>
      <c r="L37" s="298">
        <f t="shared" si="1"/>
        <v>133.32530120481928</v>
      </c>
    </row>
    <row r="38" spans="1:12" s="40" customFormat="1" ht="14.25">
      <c r="A38" s="401"/>
      <c r="B38" s="420"/>
      <c r="C38" s="409"/>
      <c r="D38" s="409"/>
      <c r="E38" s="410"/>
      <c r="F38" s="152" t="s">
        <v>836</v>
      </c>
      <c r="G38" s="217">
        <v>659</v>
      </c>
      <c r="H38" s="217">
        <v>2406</v>
      </c>
      <c r="I38" s="217">
        <v>89833</v>
      </c>
      <c r="J38" s="299">
        <f>ROUND(G38/$G$11*100,1)</f>
        <v>1.4</v>
      </c>
      <c r="K38" s="299">
        <f t="shared" si="0"/>
        <v>3.6509863429438543</v>
      </c>
      <c r="L38" s="299">
        <f t="shared" si="1"/>
        <v>136.31714719271625</v>
      </c>
    </row>
    <row r="39" spans="1:12" s="42" customFormat="1" ht="14.25" customHeight="1">
      <c r="A39" s="401"/>
      <c r="B39" s="418" t="s">
        <v>239</v>
      </c>
      <c r="C39" s="405"/>
      <c r="D39" s="405"/>
      <c r="E39" s="406"/>
      <c r="F39" s="151" t="s">
        <v>834</v>
      </c>
      <c r="G39" s="214">
        <v>13</v>
      </c>
      <c r="H39" s="214">
        <v>13</v>
      </c>
      <c r="I39" s="214">
        <v>722</v>
      </c>
      <c r="J39" s="306">
        <v>0</v>
      </c>
      <c r="K39" s="297">
        <f t="shared" si="0"/>
        <v>1</v>
      </c>
      <c r="L39" s="297">
        <f t="shared" si="1"/>
        <v>55.53846153846154</v>
      </c>
    </row>
    <row r="40" spans="1:12" s="42" customFormat="1" ht="14.25">
      <c r="A40" s="401"/>
      <c r="B40" s="419"/>
      <c r="C40" s="407"/>
      <c r="D40" s="407"/>
      <c r="E40" s="408"/>
      <c r="F40" s="152" t="s">
        <v>835</v>
      </c>
      <c r="G40" s="215">
        <v>3</v>
      </c>
      <c r="H40" s="215">
        <v>3</v>
      </c>
      <c r="I40" s="215">
        <v>108</v>
      </c>
      <c r="J40" s="307">
        <f>ROUND(G40/$G$10*100,1)</f>
        <v>0</v>
      </c>
      <c r="K40" s="298">
        <f t="shared" si="0"/>
        <v>1</v>
      </c>
      <c r="L40" s="298">
        <f t="shared" si="1"/>
        <v>36</v>
      </c>
    </row>
    <row r="41" spans="1:12" s="42" customFormat="1" ht="14.25">
      <c r="A41" s="401"/>
      <c r="B41" s="420"/>
      <c r="C41" s="409"/>
      <c r="D41" s="409"/>
      <c r="E41" s="410"/>
      <c r="F41" s="152" t="s">
        <v>836</v>
      </c>
      <c r="G41" s="216">
        <v>10</v>
      </c>
      <c r="H41" s="216">
        <v>10</v>
      </c>
      <c r="I41" s="216">
        <v>614</v>
      </c>
      <c r="J41" s="308">
        <f>ROUND(G41/$G$11*100,1)</f>
        <v>0</v>
      </c>
      <c r="K41" s="299">
        <f t="shared" si="0"/>
        <v>1</v>
      </c>
      <c r="L41" s="299">
        <f t="shared" si="1"/>
        <v>61.4</v>
      </c>
    </row>
    <row r="42" spans="1:12" s="40" customFormat="1" ht="14.25" customHeight="1">
      <c r="A42" s="405" t="s">
        <v>394</v>
      </c>
      <c r="B42" s="405"/>
      <c r="C42" s="405"/>
      <c r="D42" s="405"/>
      <c r="E42" s="406"/>
      <c r="F42" s="151" t="s">
        <v>834</v>
      </c>
      <c r="G42" s="214">
        <v>79003</v>
      </c>
      <c r="H42" s="214">
        <v>973424</v>
      </c>
      <c r="I42" s="214">
        <v>2822000</v>
      </c>
      <c r="J42" s="297">
        <f>ROUND(G42/$G$9*100,1)</f>
        <v>81.1</v>
      </c>
      <c r="K42" s="297">
        <f t="shared" si="0"/>
        <v>12.321354885257522</v>
      </c>
      <c r="L42" s="297">
        <f t="shared" si="1"/>
        <v>35.72016252547372</v>
      </c>
    </row>
    <row r="43" spans="1:12" s="40" customFormat="1" ht="14.25">
      <c r="A43" s="407"/>
      <c r="B43" s="407"/>
      <c r="C43" s="407"/>
      <c r="D43" s="407"/>
      <c r="E43" s="408"/>
      <c r="F43" s="152" t="s">
        <v>835</v>
      </c>
      <c r="G43" s="215">
        <v>39307</v>
      </c>
      <c r="H43" s="215">
        <v>489365</v>
      </c>
      <c r="I43" s="215">
        <v>1472106</v>
      </c>
      <c r="J43" s="298">
        <f>ROUND(G43/$G$10*100,1)</f>
        <v>77.3</v>
      </c>
      <c r="K43" s="298">
        <f t="shared" si="0"/>
        <v>12.44981809855751</v>
      </c>
      <c r="L43" s="298">
        <f t="shared" si="1"/>
        <v>37.45149718879589</v>
      </c>
    </row>
    <row r="44" spans="1:12" s="40" customFormat="1" ht="14.25">
      <c r="A44" s="431"/>
      <c r="B44" s="409"/>
      <c r="C44" s="409"/>
      <c r="D44" s="409"/>
      <c r="E44" s="410"/>
      <c r="F44" s="152" t="s">
        <v>836</v>
      </c>
      <c r="G44" s="216">
        <v>39696</v>
      </c>
      <c r="H44" s="216">
        <v>484059</v>
      </c>
      <c r="I44" s="216">
        <v>1349894</v>
      </c>
      <c r="J44" s="299">
        <f>ROUND(G44/$G$11*100,1)</f>
        <v>85.3</v>
      </c>
      <c r="K44" s="299">
        <f t="shared" si="0"/>
        <v>12.194150544135429</v>
      </c>
      <c r="L44" s="299">
        <f t="shared" si="1"/>
        <v>34.005794034663445</v>
      </c>
    </row>
    <row r="45" spans="1:12" s="40" customFormat="1" ht="14.25">
      <c r="A45" s="314"/>
      <c r="B45" s="314"/>
      <c r="C45" s="314"/>
      <c r="D45" s="314"/>
      <c r="E45" s="314"/>
      <c r="F45" s="315"/>
      <c r="G45" s="214"/>
      <c r="H45" s="214"/>
      <c r="I45" s="214"/>
      <c r="J45" s="297"/>
      <c r="K45" s="297"/>
      <c r="L45" s="297"/>
    </row>
    <row r="46" spans="1:12" s="75" customFormat="1" ht="12">
      <c r="A46" s="433" t="s">
        <v>263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</row>
    <row r="47" spans="1:12" s="75" customFormat="1" ht="12" customHeight="1">
      <c r="A47" s="432" t="s">
        <v>264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</row>
    <row r="48" spans="1:12" s="75" customFormat="1" ht="12" customHeight="1">
      <c r="A48" s="433" t="s">
        <v>265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</row>
    <row r="49" spans="1:12" s="75" customFormat="1" ht="12" customHeight="1">
      <c r="A49" s="433" t="s">
        <v>242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</row>
    <row r="50" spans="1:12" s="75" customFormat="1" ht="12" customHeight="1">
      <c r="A50" s="411" t="s">
        <v>53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</row>
    <row r="51" spans="1:12" s="75" customFormat="1" ht="12">
      <c r="A51" s="432" t="s">
        <v>258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</row>
    <row r="52" spans="1:12" s="75" customFormat="1" ht="11.25">
      <c r="A52" s="413" t="s">
        <v>266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</row>
    <row r="53" spans="1:12" s="75" customFormat="1" ht="12">
      <c r="A53" s="429" t="s">
        <v>267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</row>
    <row r="54" spans="1:12" s="75" customFormat="1" ht="12">
      <c r="A54" s="414" t="s">
        <v>320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</row>
    <row r="55" spans="1:12" s="75" customFormat="1" ht="11.25" customHeight="1">
      <c r="A55" s="414" t="s">
        <v>319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</row>
    <row r="56" spans="1:12" s="74" customFormat="1" ht="11.25" customHeight="1">
      <c r="A56" s="414" t="s">
        <v>322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</row>
    <row r="57" spans="1:12" ht="11.25" customHeight="1">
      <c r="A57" s="413" t="s">
        <v>33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</row>
    <row r="58" spans="1:12" ht="11.2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</row>
    <row r="59" spans="1:12" ht="11.25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</row>
    <row r="60" ht="11.25" customHeight="1"/>
    <row r="61" spans="1:12" ht="16.5">
      <c r="A61" s="449" t="str">
        <f>"- "&amp;Sheet1!B24&amp;" -"</f>
        <v>- 147 -</v>
      </c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</row>
  </sheetData>
  <sheetProtection/>
  <mergeCells count="40">
    <mergeCell ref="A61:L61"/>
    <mergeCell ref="A33:A36"/>
    <mergeCell ref="B33:E35"/>
    <mergeCell ref="B36:E38"/>
    <mergeCell ref="A37:A41"/>
    <mergeCell ref="B39:E41"/>
    <mergeCell ref="A56:L56"/>
    <mergeCell ref="A49:L49"/>
    <mergeCell ref="A55:L55"/>
    <mergeCell ref="A50:L50"/>
    <mergeCell ref="A22:A32"/>
    <mergeCell ref="B24:E26"/>
    <mergeCell ref="A12:A21"/>
    <mergeCell ref="A1:L1"/>
    <mergeCell ref="A4:L4"/>
    <mergeCell ref="L7:L8"/>
    <mergeCell ref="A9:E11"/>
    <mergeCell ref="G7:G8"/>
    <mergeCell ref="H7:H8"/>
    <mergeCell ref="A2:L2"/>
    <mergeCell ref="A5:L5"/>
    <mergeCell ref="A7:F8"/>
    <mergeCell ref="J7:J8"/>
    <mergeCell ref="K7:K8"/>
    <mergeCell ref="B30:E32"/>
    <mergeCell ref="I7:I8"/>
    <mergeCell ref="B12:E14"/>
    <mergeCell ref="B15:E17"/>
    <mergeCell ref="B18:E20"/>
    <mergeCell ref="B21:E23"/>
    <mergeCell ref="A57:L57"/>
    <mergeCell ref="B27:E29"/>
    <mergeCell ref="A53:L53"/>
    <mergeCell ref="A54:L54"/>
    <mergeCell ref="A42:E44"/>
    <mergeCell ref="A46:L46"/>
    <mergeCell ref="A47:L47"/>
    <mergeCell ref="A48:L48"/>
    <mergeCell ref="A51:L51"/>
    <mergeCell ref="A52:L52"/>
  </mergeCells>
  <printOptions/>
  <pageMargins left="0.3937007874015748" right="0.3937007874015748" top="0.3937007874015748" bottom="0.010416666666666666" header="0.5118110236220472" footer="0.7086614173228347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R50"/>
  <sheetViews>
    <sheetView zoomScale="85" zoomScaleNormal="85" zoomScalePageLayoutView="0" workbookViewId="0" topLeftCell="A1">
      <selection activeCell="H6" sqref="H6:S6"/>
    </sheetView>
  </sheetViews>
  <sheetFormatPr defaultColWidth="9.00390625" defaultRowHeight="16.5"/>
  <cols>
    <col min="1" max="1" width="6.25390625" style="85" customWidth="1"/>
    <col min="2" max="2" width="10.00390625" style="85" customWidth="1"/>
    <col min="3" max="3" width="8.625" style="85" customWidth="1"/>
    <col min="4" max="4" width="10.875" style="85" customWidth="1"/>
    <col min="5" max="5" width="10.25390625" style="85" customWidth="1"/>
    <col min="6" max="6" width="11.625" style="85" customWidth="1"/>
    <col min="7" max="7" width="8.625" style="85" customWidth="1"/>
    <col min="8" max="8" width="8.875" style="85" customWidth="1"/>
    <col min="9" max="9" width="8.375" style="85" customWidth="1"/>
    <col min="10" max="10" width="9.00390625" style="85" customWidth="1"/>
    <col min="11" max="14" width="8.75390625" style="85" customWidth="1"/>
    <col min="15" max="15" width="8.875" style="85" customWidth="1"/>
    <col min="16" max="16" width="9.00390625" style="85" customWidth="1"/>
    <col min="17" max="17" width="9.625" style="85" customWidth="1"/>
    <col min="18" max="18" width="8.875" style="85" customWidth="1"/>
    <col min="19" max="19" width="9.50390625" style="85" customWidth="1"/>
    <col min="20" max="16384" width="9.00390625" style="85" customWidth="1"/>
  </cols>
  <sheetData>
    <row r="1" spans="1:19" s="98" customFormat="1" ht="21.75" customHeight="1">
      <c r="A1" s="505" t="s">
        <v>972</v>
      </c>
      <c r="B1" s="505"/>
      <c r="C1" s="505"/>
      <c r="D1" s="505"/>
      <c r="E1" s="505"/>
      <c r="F1" s="505"/>
      <c r="G1" s="505"/>
      <c r="H1" s="505"/>
      <c r="I1" s="505"/>
      <c r="J1" s="505" t="s">
        <v>973</v>
      </c>
      <c r="K1" s="505"/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53"/>
      <c r="M2" s="2"/>
      <c r="N2" s="2"/>
      <c r="O2" s="2"/>
      <c r="P2" s="2"/>
      <c r="Q2" s="2"/>
      <c r="R2" s="2"/>
      <c r="S2" s="2"/>
    </row>
    <row r="3" spans="1:19" s="97" customFormat="1" ht="15" customHeight="1">
      <c r="A3" s="16"/>
      <c r="B3" s="16"/>
      <c r="C3" s="461"/>
      <c r="D3" s="461"/>
      <c r="E3" s="461"/>
      <c r="F3" s="461"/>
      <c r="G3" s="461"/>
      <c r="H3" s="461"/>
      <c r="I3" s="4" t="s">
        <v>698</v>
      </c>
      <c r="K3" s="5"/>
      <c r="L3" s="461" t="s">
        <v>439</v>
      </c>
      <c r="M3" s="461"/>
      <c r="N3" s="461"/>
      <c r="O3" s="461"/>
      <c r="P3" s="461"/>
      <c r="Q3" s="461"/>
      <c r="R3" s="461"/>
      <c r="S3" s="107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31.5" customHeight="1">
      <c r="A5" s="576"/>
      <c r="B5" s="576"/>
      <c r="C5" s="577"/>
      <c r="D5" s="507" t="s">
        <v>983</v>
      </c>
      <c r="E5" s="507" t="s">
        <v>984</v>
      </c>
      <c r="F5" s="507" t="s">
        <v>985</v>
      </c>
      <c r="G5" s="507" t="s">
        <v>986</v>
      </c>
      <c r="H5" s="495" t="s">
        <v>987</v>
      </c>
      <c r="I5" s="496"/>
      <c r="J5" s="496"/>
      <c r="K5" s="574" t="s">
        <v>988</v>
      </c>
      <c r="L5" s="574"/>
      <c r="M5" s="574"/>
      <c r="N5" s="574"/>
      <c r="O5" s="575"/>
      <c r="P5" s="495" t="s">
        <v>989</v>
      </c>
      <c r="Q5" s="496"/>
      <c r="R5" s="496"/>
      <c r="S5" s="496"/>
    </row>
    <row r="6" spans="1:19" s="42" customFormat="1" ht="61.5" customHeight="1">
      <c r="A6" s="578"/>
      <c r="B6" s="578"/>
      <c r="C6" s="579"/>
      <c r="D6" s="512"/>
      <c r="E6" s="512"/>
      <c r="F6" s="513"/>
      <c r="G6" s="508"/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929</v>
      </c>
      <c r="S6" s="120" t="s">
        <v>711</v>
      </c>
    </row>
    <row r="7" spans="1:44" s="93" customFormat="1" ht="13.5" customHeight="1">
      <c r="A7" s="236"/>
      <c r="B7" s="507"/>
      <c r="C7" s="234" t="s">
        <v>990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153"/>
      <c r="B8" s="516"/>
      <c r="C8" s="124" t="s">
        <v>991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153"/>
      <c r="B9" s="517"/>
      <c r="C9" s="235" t="s">
        <v>992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153"/>
      <c r="B10" s="491"/>
      <c r="C10" s="234" t="s">
        <v>990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93" customFormat="1" ht="13.5" customHeight="1">
      <c r="A11" s="153"/>
      <c r="B11" s="492"/>
      <c r="C11" s="124" t="s">
        <v>991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93" customFormat="1" ht="13.5" customHeight="1">
      <c r="A12" s="153"/>
      <c r="B12" s="493"/>
      <c r="C12" s="235" t="s">
        <v>992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93" customFormat="1" ht="13.5" customHeight="1">
      <c r="A13" s="153"/>
      <c r="B13" s="491"/>
      <c r="C13" s="234" t="s">
        <v>990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s="93" customFormat="1" ht="13.5" customHeight="1">
      <c r="A14" s="153"/>
      <c r="B14" s="492"/>
      <c r="C14" s="124" t="s">
        <v>991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93" customFormat="1" ht="13.5" customHeight="1">
      <c r="A15" s="153"/>
      <c r="B15" s="493"/>
      <c r="C15" s="235" t="s">
        <v>992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93" customFormat="1" ht="13.5" customHeight="1">
      <c r="A16" s="153"/>
      <c r="B16" s="491"/>
      <c r="C16" s="234" t="s">
        <v>990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s="93" customFormat="1" ht="13.5" customHeight="1">
      <c r="A17" s="153"/>
      <c r="B17" s="492"/>
      <c r="C17" s="124" t="s">
        <v>991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93" customFormat="1" ht="13.5" customHeight="1">
      <c r="A18" s="153"/>
      <c r="B18" s="492"/>
      <c r="C18" s="235" t="s">
        <v>992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93" customFormat="1" ht="13.5" customHeight="1">
      <c r="A19" s="153"/>
      <c r="B19" s="491"/>
      <c r="C19" s="234" t="s">
        <v>990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s="93" customFormat="1" ht="13.5" customHeight="1">
      <c r="A20" s="153"/>
      <c r="B20" s="492"/>
      <c r="C20" s="124" t="s">
        <v>991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93" customFormat="1" ht="13.5" customHeight="1">
      <c r="A21" s="153"/>
      <c r="B21" s="492"/>
      <c r="C21" s="235" t="s">
        <v>992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93" customFormat="1" ht="13.5" customHeight="1">
      <c r="A22" s="153"/>
      <c r="B22" s="491"/>
      <c r="C22" s="234" t="s">
        <v>990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s="93" customFormat="1" ht="13.5" customHeight="1">
      <c r="A23" s="153"/>
      <c r="B23" s="492"/>
      <c r="C23" s="124" t="s">
        <v>991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93" customFormat="1" ht="13.5" customHeight="1">
      <c r="A24" s="153"/>
      <c r="B24" s="493"/>
      <c r="C24" s="235" t="s">
        <v>992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93" customFormat="1" ht="13.5" customHeight="1">
      <c r="A25" s="153"/>
      <c r="B25" s="494"/>
      <c r="C25" s="234" t="s">
        <v>990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s="93" customFormat="1" ht="13.5" customHeight="1">
      <c r="A26" s="153"/>
      <c r="B26" s="494"/>
      <c r="C26" s="124" t="s">
        <v>991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93" customFormat="1" ht="13.5" customHeight="1">
      <c r="A27" s="153"/>
      <c r="B27" s="494"/>
      <c r="C27" s="235" t="s">
        <v>992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93" customFormat="1" ht="13.5" customHeight="1">
      <c r="A28" s="153"/>
      <c r="B28" s="507"/>
      <c r="C28" s="234" t="s">
        <v>990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20" s="93" customFormat="1" ht="13.5" customHeight="1">
      <c r="A29" s="153"/>
      <c r="B29" s="516"/>
      <c r="C29" s="124" t="s">
        <v>991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94"/>
    </row>
    <row r="30" spans="1:20" s="93" customFormat="1" ht="13.5" customHeight="1">
      <c r="A30" s="153"/>
      <c r="B30" s="517"/>
      <c r="C30" s="235" t="s">
        <v>992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94"/>
    </row>
    <row r="31" spans="1:19" s="93" customFormat="1" ht="13.5" customHeight="1">
      <c r="A31" s="153"/>
      <c r="B31" s="491"/>
      <c r="C31" s="234" t="s">
        <v>990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20" s="93" customFormat="1" ht="13.5" customHeight="1">
      <c r="A32" s="153"/>
      <c r="B32" s="492"/>
      <c r="C32" s="124" t="s">
        <v>991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94"/>
    </row>
    <row r="33" spans="1:20" s="93" customFormat="1" ht="13.5" customHeight="1">
      <c r="A33" s="153"/>
      <c r="B33" s="493"/>
      <c r="C33" s="235" t="s">
        <v>992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94"/>
    </row>
    <row r="34" spans="1:19" ht="13.5" customHeight="1">
      <c r="A34" s="153"/>
      <c r="B34" s="491"/>
      <c r="C34" s="234" t="s">
        <v>990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3.5" customHeight="1">
      <c r="A35" s="153"/>
      <c r="B35" s="492"/>
      <c r="C35" s="124" t="s">
        <v>991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  <c r="S35" s="59"/>
    </row>
    <row r="36" spans="1:19" ht="13.5" customHeight="1">
      <c r="A36" s="153"/>
      <c r="B36" s="493"/>
      <c r="C36" s="235" t="s">
        <v>992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  <c r="S36" s="59"/>
    </row>
    <row r="37" spans="1:19" ht="13.5" customHeight="1">
      <c r="A37" s="153"/>
      <c r="B37" s="492"/>
      <c r="C37" s="234" t="s">
        <v>990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3.5" customHeight="1">
      <c r="A38" s="153"/>
      <c r="B38" s="492"/>
      <c r="C38" s="124" t="s">
        <v>991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 customHeight="1">
      <c r="A39" s="153"/>
      <c r="B39" s="492"/>
      <c r="C39" s="235" t="s">
        <v>992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3.5" customHeight="1">
      <c r="A40" s="153"/>
      <c r="B40" s="491"/>
      <c r="C40" s="234" t="s">
        <v>990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3.5" customHeight="1">
      <c r="A41" s="153"/>
      <c r="B41" s="492"/>
      <c r="C41" s="124" t="s">
        <v>991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3.5" customHeight="1">
      <c r="A42" s="153"/>
      <c r="B42" s="493"/>
      <c r="C42" s="235" t="s">
        <v>992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93" customFormat="1" ht="13.5" customHeight="1">
      <c r="A43" s="153"/>
      <c r="B43" s="491"/>
      <c r="C43" s="234" t="s">
        <v>990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s="93" customFormat="1" ht="13.5" customHeight="1">
      <c r="A44" s="153"/>
      <c r="B44" s="492"/>
      <c r="C44" s="124" t="s">
        <v>991</v>
      </c>
      <c r="D44" s="2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93" customFormat="1" ht="13.5" customHeight="1">
      <c r="A45" s="153"/>
      <c r="B45" s="493"/>
      <c r="C45" s="235" t="s">
        <v>992</v>
      </c>
      <c r="D45" s="2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93" customFormat="1" ht="13.5" customHeight="1">
      <c r="A46" s="153"/>
      <c r="B46" s="507"/>
      <c r="C46" s="234" t="s">
        <v>990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s="93" customFormat="1" ht="13.5" customHeight="1">
      <c r="A47" s="153"/>
      <c r="B47" s="516"/>
      <c r="C47" s="124" t="s">
        <v>991</v>
      </c>
      <c r="D47" s="2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s="93" customFormat="1" ht="13.5" customHeight="1">
      <c r="A48" s="153"/>
      <c r="B48" s="517"/>
      <c r="C48" s="124" t="s">
        <v>992</v>
      </c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50" spans="1:19" ht="15.75">
      <c r="A50" s="585" t="str">
        <f>"- "&amp;Sheet1!J34&amp;" -"</f>
        <v>-  -</v>
      </c>
      <c r="B50" s="585"/>
      <c r="C50" s="585"/>
      <c r="D50" s="585"/>
      <c r="E50" s="585"/>
      <c r="F50" s="585"/>
      <c r="G50" s="585"/>
      <c r="H50" s="585"/>
      <c r="I50" s="585"/>
      <c r="J50" s="585" t="str">
        <f>"- "&amp;Sheet1!K34&amp;" -"</f>
        <v>-  -</v>
      </c>
      <c r="K50" s="585"/>
      <c r="L50" s="585"/>
      <c r="M50" s="585"/>
      <c r="N50" s="585"/>
      <c r="O50" s="585"/>
      <c r="P50" s="585"/>
      <c r="Q50" s="585"/>
      <c r="R50" s="585"/>
      <c r="S50" s="585"/>
    </row>
  </sheetData>
  <sheetProtection/>
  <mergeCells count="28">
    <mergeCell ref="B31:B33"/>
    <mergeCell ref="B34:B36"/>
    <mergeCell ref="A50:I50"/>
    <mergeCell ref="J50:S50"/>
    <mergeCell ref="B37:B39"/>
    <mergeCell ref="B40:B42"/>
    <mergeCell ref="B43:B45"/>
    <mergeCell ref="B46:B48"/>
    <mergeCell ref="C3:H3"/>
    <mergeCell ref="L3:R3"/>
    <mergeCell ref="B28:B30"/>
    <mergeCell ref="B10:B12"/>
    <mergeCell ref="B13:B15"/>
    <mergeCell ref="B16:B18"/>
    <mergeCell ref="B19:B21"/>
    <mergeCell ref="B22:B24"/>
    <mergeCell ref="B7:B9"/>
    <mergeCell ref="B25:B27"/>
    <mergeCell ref="F5:F6"/>
    <mergeCell ref="K5:O5"/>
    <mergeCell ref="H5:J5"/>
    <mergeCell ref="A1:I1"/>
    <mergeCell ref="J1:S1"/>
    <mergeCell ref="A5:C6"/>
    <mergeCell ref="E5:E6"/>
    <mergeCell ref="D5:D6"/>
    <mergeCell ref="P5:S5"/>
    <mergeCell ref="G5:G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R50"/>
  <sheetViews>
    <sheetView zoomScale="85" zoomScaleNormal="85" zoomScalePageLayoutView="0" workbookViewId="0" topLeftCell="A1">
      <selection activeCell="H6" sqref="H6:S6"/>
    </sheetView>
  </sheetViews>
  <sheetFormatPr defaultColWidth="9.00390625" defaultRowHeight="16.5"/>
  <cols>
    <col min="1" max="1" width="6.25390625" style="85" customWidth="1"/>
    <col min="2" max="2" width="10.00390625" style="85" customWidth="1"/>
    <col min="3" max="3" width="8.625" style="85" customWidth="1"/>
    <col min="4" max="4" width="10.875" style="85" customWidth="1"/>
    <col min="5" max="5" width="10.25390625" style="85" customWidth="1"/>
    <col min="6" max="6" width="11.625" style="85" customWidth="1"/>
    <col min="7" max="7" width="8.625" style="85" customWidth="1"/>
    <col min="8" max="8" width="8.875" style="85" customWidth="1"/>
    <col min="9" max="9" width="8.375" style="85" customWidth="1"/>
    <col min="10" max="10" width="9.00390625" style="85" customWidth="1"/>
    <col min="11" max="14" width="8.75390625" style="85" customWidth="1"/>
    <col min="15" max="15" width="8.875" style="85" customWidth="1"/>
    <col min="16" max="16" width="9.00390625" style="85" customWidth="1"/>
    <col min="17" max="17" width="9.625" style="85" customWidth="1"/>
    <col min="18" max="18" width="8.875" style="85" customWidth="1"/>
    <col min="19" max="19" width="9.50390625" style="85" customWidth="1"/>
    <col min="20" max="16384" width="9.00390625" style="85" customWidth="1"/>
  </cols>
  <sheetData>
    <row r="1" spans="1:19" s="98" customFormat="1" ht="21.75" customHeight="1">
      <c r="A1" s="505" t="s">
        <v>972</v>
      </c>
      <c r="B1" s="505"/>
      <c r="C1" s="505"/>
      <c r="D1" s="505"/>
      <c r="E1" s="505"/>
      <c r="F1" s="505"/>
      <c r="G1" s="505"/>
      <c r="H1" s="505"/>
      <c r="I1" s="505"/>
      <c r="J1" s="505" t="s">
        <v>973</v>
      </c>
      <c r="K1" s="505"/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53"/>
      <c r="M2" s="2"/>
      <c r="N2" s="2"/>
      <c r="O2" s="2"/>
      <c r="P2" s="2"/>
      <c r="Q2" s="2"/>
      <c r="R2" s="2"/>
      <c r="S2" s="2"/>
    </row>
    <row r="3" spans="1:19" s="97" customFormat="1" ht="15" customHeight="1">
      <c r="A3" s="16"/>
      <c r="B3" s="16"/>
      <c r="C3" s="461"/>
      <c r="D3" s="461"/>
      <c r="E3" s="461"/>
      <c r="F3" s="461"/>
      <c r="G3" s="461"/>
      <c r="H3" s="461"/>
      <c r="I3" s="4" t="s">
        <v>698</v>
      </c>
      <c r="K3" s="5"/>
      <c r="L3" s="461" t="s">
        <v>439</v>
      </c>
      <c r="M3" s="461"/>
      <c r="N3" s="461"/>
      <c r="O3" s="461"/>
      <c r="P3" s="461"/>
      <c r="Q3" s="461"/>
      <c r="R3" s="461"/>
      <c r="S3" s="107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31.5" customHeight="1">
      <c r="A5" s="576"/>
      <c r="B5" s="576"/>
      <c r="C5" s="577"/>
      <c r="D5" s="507" t="s">
        <v>983</v>
      </c>
      <c r="E5" s="507" t="s">
        <v>984</v>
      </c>
      <c r="F5" s="507" t="s">
        <v>985</v>
      </c>
      <c r="G5" s="507" t="s">
        <v>986</v>
      </c>
      <c r="H5" s="495" t="s">
        <v>987</v>
      </c>
      <c r="I5" s="496"/>
      <c r="J5" s="496"/>
      <c r="K5" s="574" t="s">
        <v>988</v>
      </c>
      <c r="L5" s="574"/>
      <c r="M5" s="574"/>
      <c r="N5" s="574"/>
      <c r="O5" s="575"/>
      <c r="P5" s="495" t="s">
        <v>989</v>
      </c>
      <c r="Q5" s="496"/>
      <c r="R5" s="496"/>
      <c r="S5" s="496"/>
    </row>
    <row r="6" spans="1:19" s="42" customFormat="1" ht="61.5" customHeight="1">
      <c r="A6" s="578"/>
      <c r="B6" s="578"/>
      <c r="C6" s="579"/>
      <c r="D6" s="512"/>
      <c r="E6" s="512"/>
      <c r="F6" s="513"/>
      <c r="G6" s="508"/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929</v>
      </c>
      <c r="S6" s="120" t="s">
        <v>711</v>
      </c>
    </row>
    <row r="7" spans="1:44" s="93" customFormat="1" ht="13.5" customHeight="1">
      <c r="A7" s="236"/>
      <c r="B7" s="507"/>
      <c r="C7" s="234" t="s">
        <v>990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153"/>
      <c r="B8" s="516"/>
      <c r="C8" s="124" t="s">
        <v>991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153"/>
      <c r="B9" s="517"/>
      <c r="C9" s="235" t="s">
        <v>992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153"/>
      <c r="B10" s="491"/>
      <c r="C10" s="234" t="s">
        <v>990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93" customFormat="1" ht="13.5" customHeight="1">
      <c r="A11" s="153"/>
      <c r="B11" s="492"/>
      <c r="C11" s="124" t="s">
        <v>991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93" customFormat="1" ht="13.5" customHeight="1">
      <c r="A12" s="153"/>
      <c r="B12" s="493"/>
      <c r="C12" s="235" t="s">
        <v>992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93" customFormat="1" ht="13.5" customHeight="1">
      <c r="A13" s="153"/>
      <c r="B13" s="491"/>
      <c r="C13" s="234" t="s">
        <v>990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s="93" customFormat="1" ht="13.5" customHeight="1">
      <c r="A14" s="153"/>
      <c r="B14" s="492"/>
      <c r="C14" s="124" t="s">
        <v>991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93" customFormat="1" ht="13.5" customHeight="1">
      <c r="A15" s="153"/>
      <c r="B15" s="493"/>
      <c r="C15" s="235" t="s">
        <v>992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93" customFormat="1" ht="13.5" customHeight="1">
      <c r="A16" s="153"/>
      <c r="B16" s="491"/>
      <c r="C16" s="234" t="s">
        <v>990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s="93" customFormat="1" ht="13.5" customHeight="1">
      <c r="A17" s="153"/>
      <c r="B17" s="492"/>
      <c r="C17" s="124" t="s">
        <v>991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93" customFormat="1" ht="13.5" customHeight="1">
      <c r="A18" s="153"/>
      <c r="B18" s="492"/>
      <c r="C18" s="235" t="s">
        <v>992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93" customFormat="1" ht="13.5" customHeight="1">
      <c r="A19" s="153"/>
      <c r="B19" s="491"/>
      <c r="C19" s="234" t="s">
        <v>990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s="93" customFormat="1" ht="13.5" customHeight="1">
      <c r="A20" s="153"/>
      <c r="B20" s="492"/>
      <c r="C20" s="124" t="s">
        <v>991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93" customFormat="1" ht="13.5" customHeight="1">
      <c r="A21" s="153"/>
      <c r="B21" s="492"/>
      <c r="C21" s="235" t="s">
        <v>992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93" customFormat="1" ht="13.5" customHeight="1">
      <c r="A22" s="153"/>
      <c r="B22" s="491"/>
      <c r="C22" s="234" t="s">
        <v>990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s="93" customFormat="1" ht="13.5" customHeight="1">
      <c r="A23" s="153"/>
      <c r="B23" s="492"/>
      <c r="C23" s="124" t="s">
        <v>991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93" customFormat="1" ht="13.5" customHeight="1">
      <c r="A24" s="153"/>
      <c r="B24" s="493"/>
      <c r="C24" s="235" t="s">
        <v>992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93" customFormat="1" ht="13.5" customHeight="1">
      <c r="A25" s="153"/>
      <c r="B25" s="494"/>
      <c r="C25" s="234" t="s">
        <v>990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s="93" customFormat="1" ht="13.5" customHeight="1">
      <c r="A26" s="153"/>
      <c r="B26" s="494"/>
      <c r="C26" s="124" t="s">
        <v>991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93" customFormat="1" ht="13.5" customHeight="1">
      <c r="A27" s="153"/>
      <c r="B27" s="494"/>
      <c r="C27" s="235" t="s">
        <v>992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93" customFormat="1" ht="13.5" customHeight="1">
      <c r="A28" s="153"/>
      <c r="B28" s="507"/>
      <c r="C28" s="234" t="s">
        <v>990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20" s="93" customFormat="1" ht="13.5" customHeight="1">
      <c r="A29" s="153"/>
      <c r="B29" s="516"/>
      <c r="C29" s="124" t="s">
        <v>991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94"/>
    </row>
    <row r="30" spans="1:20" s="93" customFormat="1" ht="13.5" customHeight="1">
      <c r="A30" s="153"/>
      <c r="B30" s="517"/>
      <c r="C30" s="235" t="s">
        <v>992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94"/>
    </row>
    <row r="31" spans="1:19" s="93" customFormat="1" ht="13.5" customHeight="1">
      <c r="A31" s="153"/>
      <c r="B31" s="491"/>
      <c r="C31" s="234" t="s">
        <v>990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20" s="93" customFormat="1" ht="13.5" customHeight="1">
      <c r="A32" s="153"/>
      <c r="B32" s="492"/>
      <c r="C32" s="124" t="s">
        <v>991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94"/>
    </row>
    <row r="33" spans="1:20" s="93" customFormat="1" ht="13.5" customHeight="1">
      <c r="A33" s="153"/>
      <c r="B33" s="493"/>
      <c r="C33" s="235" t="s">
        <v>992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94"/>
    </row>
    <row r="34" spans="1:19" ht="13.5" customHeight="1">
      <c r="A34" s="153"/>
      <c r="B34" s="491"/>
      <c r="C34" s="234" t="s">
        <v>990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3.5" customHeight="1">
      <c r="A35" s="153"/>
      <c r="B35" s="492"/>
      <c r="C35" s="124" t="s">
        <v>991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  <c r="S35" s="59"/>
    </row>
    <row r="36" spans="1:19" ht="13.5" customHeight="1">
      <c r="A36" s="153"/>
      <c r="B36" s="493"/>
      <c r="C36" s="235" t="s">
        <v>992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  <c r="S36" s="59"/>
    </row>
    <row r="37" spans="1:19" ht="13.5" customHeight="1">
      <c r="A37" s="153"/>
      <c r="B37" s="492"/>
      <c r="C37" s="234" t="s">
        <v>990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3.5" customHeight="1">
      <c r="A38" s="153"/>
      <c r="B38" s="492"/>
      <c r="C38" s="124" t="s">
        <v>991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 customHeight="1">
      <c r="A39" s="153"/>
      <c r="B39" s="492"/>
      <c r="C39" s="235" t="s">
        <v>992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3.5" customHeight="1">
      <c r="A40" s="153"/>
      <c r="B40" s="491"/>
      <c r="C40" s="234" t="s">
        <v>990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3.5" customHeight="1">
      <c r="A41" s="153"/>
      <c r="B41" s="492"/>
      <c r="C41" s="124" t="s">
        <v>991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3.5" customHeight="1">
      <c r="A42" s="153"/>
      <c r="B42" s="493"/>
      <c r="C42" s="235" t="s">
        <v>992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93" customFormat="1" ht="13.5" customHeight="1">
      <c r="A43" s="153"/>
      <c r="B43" s="491"/>
      <c r="C43" s="234" t="s">
        <v>990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s="93" customFormat="1" ht="13.5" customHeight="1">
      <c r="A44" s="153"/>
      <c r="B44" s="492"/>
      <c r="C44" s="124" t="s">
        <v>991</v>
      </c>
      <c r="D44" s="2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93" customFormat="1" ht="13.5" customHeight="1">
      <c r="A45" s="153"/>
      <c r="B45" s="493"/>
      <c r="C45" s="235" t="s">
        <v>992</v>
      </c>
      <c r="D45" s="2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93" customFormat="1" ht="13.5" customHeight="1">
      <c r="A46" s="153"/>
      <c r="B46" s="507"/>
      <c r="C46" s="234" t="s">
        <v>990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s="93" customFormat="1" ht="13.5" customHeight="1">
      <c r="A47" s="153"/>
      <c r="B47" s="516"/>
      <c r="C47" s="124" t="s">
        <v>991</v>
      </c>
      <c r="D47" s="2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s="93" customFormat="1" ht="13.5" customHeight="1">
      <c r="A48" s="153"/>
      <c r="B48" s="517"/>
      <c r="C48" s="124" t="s">
        <v>992</v>
      </c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50" spans="1:19" ht="15.75">
      <c r="A50" s="585" t="str">
        <f>"- "&amp;Sheet1!L34&amp;" -"</f>
        <v>-  -</v>
      </c>
      <c r="B50" s="585"/>
      <c r="C50" s="585"/>
      <c r="D50" s="585"/>
      <c r="E50" s="585"/>
      <c r="F50" s="585"/>
      <c r="G50" s="585"/>
      <c r="H50" s="585"/>
      <c r="I50" s="585"/>
      <c r="J50" s="585" t="str">
        <f>"- "&amp;Sheet1!M34&amp;" -"</f>
        <v>-  -</v>
      </c>
      <c r="K50" s="585"/>
      <c r="L50" s="585"/>
      <c r="M50" s="585"/>
      <c r="N50" s="585"/>
      <c r="O50" s="585"/>
      <c r="P50" s="585"/>
      <c r="Q50" s="585"/>
      <c r="R50" s="585"/>
      <c r="S50" s="585"/>
    </row>
  </sheetData>
  <sheetProtection/>
  <mergeCells count="28">
    <mergeCell ref="B31:B33"/>
    <mergeCell ref="B34:B36"/>
    <mergeCell ref="D5:D6"/>
    <mergeCell ref="B7:B9"/>
    <mergeCell ref="B10:B12"/>
    <mergeCell ref="A5:C6"/>
    <mergeCell ref="B13:B15"/>
    <mergeCell ref="B16:B18"/>
    <mergeCell ref="B19:B21"/>
    <mergeCell ref="B22:B24"/>
    <mergeCell ref="A50:I50"/>
    <mergeCell ref="J50:S50"/>
    <mergeCell ref="B37:B39"/>
    <mergeCell ref="B40:B42"/>
    <mergeCell ref="B43:B45"/>
    <mergeCell ref="B46:B48"/>
    <mergeCell ref="B25:B27"/>
    <mergeCell ref="B28:B30"/>
    <mergeCell ref="E5:E6"/>
    <mergeCell ref="F5:F6"/>
    <mergeCell ref="C3:H3"/>
    <mergeCell ref="L3:R3"/>
    <mergeCell ref="A1:I1"/>
    <mergeCell ref="J1:S1"/>
    <mergeCell ref="K5:O5"/>
    <mergeCell ref="H5:J5"/>
    <mergeCell ref="P5:S5"/>
    <mergeCell ref="G5:G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Q51"/>
  <sheetViews>
    <sheetView view="pageLayout" zoomScaleSheetLayoutView="85" workbookViewId="0" topLeftCell="A28">
      <selection activeCell="A51" sqref="A51:I51"/>
    </sheetView>
  </sheetViews>
  <sheetFormatPr defaultColWidth="9.00390625" defaultRowHeight="16.5"/>
  <cols>
    <col min="1" max="1" width="7.25390625" style="85" customWidth="1"/>
    <col min="2" max="2" width="10.25390625" style="85" customWidth="1"/>
    <col min="3" max="3" width="9.75390625" style="85" customWidth="1"/>
    <col min="4" max="5" width="9.625" style="85" customWidth="1"/>
    <col min="6" max="9" width="10.625" style="85" customWidth="1"/>
    <col min="10" max="18" width="10.00390625" style="85" customWidth="1"/>
    <col min="19" max="16384" width="9.00390625" style="85" customWidth="1"/>
  </cols>
  <sheetData>
    <row r="1" spans="1:18" s="98" customFormat="1" ht="21.75" customHeight="1">
      <c r="A1" s="505" t="s">
        <v>933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226</v>
      </c>
      <c r="L1" s="505"/>
      <c r="M1" s="505"/>
      <c r="N1" s="505"/>
      <c r="O1" s="505"/>
      <c r="P1" s="505"/>
      <c r="Q1" s="505"/>
      <c r="R1" s="505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97" customFormat="1" ht="15" customHeight="1">
      <c r="A3" s="16"/>
      <c r="B3" s="460" t="s">
        <v>489</v>
      </c>
      <c r="C3" s="461"/>
      <c r="D3" s="461"/>
      <c r="E3" s="461"/>
      <c r="F3" s="461"/>
      <c r="G3" s="461"/>
      <c r="H3" s="461"/>
      <c r="I3" s="4" t="s">
        <v>712</v>
      </c>
      <c r="K3" s="461" t="s">
        <v>530</v>
      </c>
      <c r="L3" s="461"/>
      <c r="M3" s="461"/>
      <c r="N3" s="461"/>
      <c r="O3" s="461"/>
      <c r="P3" s="461"/>
      <c r="Q3" s="461"/>
      <c r="R3" s="238" t="s">
        <v>934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8" s="42" customFormat="1" ht="31.5" customHeight="1">
      <c r="A5" s="509"/>
      <c r="B5" s="509"/>
      <c r="C5" s="488"/>
      <c r="D5" s="507" t="s">
        <v>713</v>
      </c>
      <c r="E5" s="507" t="s">
        <v>716</v>
      </c>
      <c r="F5" s="495" t="s">
        <v>935</v>
      </c>
      <c r="G5" s="496"/>
      <c r="H5" s="496"/>
      <c r="I5" s="496"/>
      <c r="J5" s="487"/>
      <c r="K5" s="496" t="s">
        <v>696</v>
      </c>
      <c r="L5" s="496"/>
      <c r="M5" s="496"/>
      <c r="N5" s="514"/>
      <c r="O5" s="495" t="s">
        <v>936</v>
      </c>
      <c r="P5" s="496"/>
      <c r="Q5" s="496"/>
      <c r="R5" s="496"/>
    </row>
    <row r="6" spans="1:18" s="42" customFormat="1" ht="65.25" customHeight="1">
      <c r="A6" s="489"/>
      <c r="B6" s="510"/>
      <c r="C6" s="511"/>
      <c r="D6" s="517"/>
      <c r="E6" s="517"/>
      <c r="F6" s="123" t="s">
        <v>808</v>
      </c>
      <c r="G6" s="123" t="s">
        <v>853</v>
      </c>
      <c r="H6" s="52" t="s">
        <v>852</v>
      </c>
      <c r="I6" s="123" t="s">
        <v>846</v>
      </c>
      <c r="J6" s="52" t="s">
        <v>847</v>
      </c>
      <c r="K6" s="52" t="s">
        <v>848</v>
      </c>
      <c r="L6" s="123" t="s">
        <v>849</v>
      </c>
      <c r="M6" s="123" t="s">
        <v>850</v>
      </c>
      <c r="N6" s="51" t="s">
        <v>851</v>
      </c>
      <c r="O6" s="118" t="s">
        <v>927</v>
      </c>
      <c r="P6" s="117" t="s">
        <v>928</v>
      </c>
      <c r="Q6" s="117" t="s">
        <v>937</v>
      </c>
      <c r="R6" s="120" t="s">
        <v>711</v>
      </c>
    </row>
    <row r="7" spans="1:19" s="93" customFormat="1" ht="13.5" customHeight="1">
      <c r="A7" s="532" t="s">
        <v>670</v>
      </c>
      <c r="B7" s="491"/>
      <c r="C7" s="141" t="s">
        <v>702</v>
      </c>
      <c r="D7" s="130">
        <v>1252</v>
      </c>
      <c r="E7" s="139">
        <v>42</v>
      </c>
      <c r="F7" s="139">
        <v>2</v>
      </c>
      <c r="G7" s="139">
        <v>66</v>
      </c>
      <c r="H7" s="139">
        <v>162</v>
      </c>
      <c r="I7" s="139">
        <v>261</v>
      </c>
      <c r="J7" s="139">
        <v>250</v>
      </c>
      <c r="K7" s="139">
        <v>275</v>
      </c>
      <c r="L7" s="139">
        <v>168</v>
      </c>
      <c r="M7" s="139">
        <v>58</v>
      </c>
      <c r="N7" s="139">
        <v>10</v>
      </c>
      <c r="O7" s="139">
        <v>162</v>
      </c>
      <c r="P7" s="139">
        <v>1038</v>
      </c>
      <c r="Q7" s="139">
        <v>51</v>
      </c>
      <c r="R7" s="139">
        <v>1</v>
      </c>
      <c r="S7" s="94"/>
    </row>
    <row r="8" spans="1:18" s="93" customFormat="1" ht="13.5" customHeight="1">
      <c r="A8" s="533"/>
      <c r="B8" s="492"/>
      <c r="C8" s="143" t="s">
        <v>703</v>
      </c>
      <c r="D8" s="24">
        <v>351</v>
      </c>
      <c r="E8" s="10">
        <v>44</v>
      </c>
      <c r="F8" s="10">
        <v>1</v>
      </c>
      <c r="G8" s="10">
        <v>5</v>
      </c>
      <c r="H8" s="10">
        <v>26</v>
      </c>
      <c r="I8" s="10">
        <v>59</v>
      </c>
      <c r="J8" s="10">
        <v>80</v>
      </c>
      <c r="K8" s="10">
        <v>79</v>
      </c>
      <c r="L8" s="10">
        <v>72</v>
      </c>
      <c r="M8" s="10">
        <v>27</v>
      </c>
      <c r="N8" s="10">
        <v>2</v>
      </c>
      <c r="O8" s="10">
        <v>65</v>
      </c>
      <c r="P8" s="10">
        <v>277</v>
      </c>
      <c r="Q8" s="10">
        <v>9</v>
      </c>
      <c r="R8" s="10">
        <v>0</v>
      </c>
    </row>
    <row r="9" spans="1:18" s="93" customFormat="1" ht="13.5" customHeight="1">
      <c r="A9" s="533"/>
      <c r="B9" s="492"/>
      <c r="C9" s="235" t="s">
        <v>704</v>
      </c>
      <c r="D9" s="24">
        <v>901</v>
      </c>
      <c r="E9" s="10">
        <v>41</v>
      </c>
      <c r="F9" s="10">
        <v>1</v>
      </c>
      <c r="G9" s="10">
        <v>61</v>
      </c>
      <c r="H9" s="10">
        <v>136</v>
      </c>
      <c r="I9" s="10">
        <v>202</v>
      </c>
      <c r="J9" s="10">
        <v>170</v>
      </c>
      <c r="K9" s="10">
        <v>196</v>
      </c>
      <c r="L9" s="10">
        <v>96</v>
      </c>
      <c r="M9" s="10">
        <v>31</v>
      </c>
      <c r="N9" s="10">
        <v>8</v>
      </c>
      <c r="O9" s="10">
        <v>97</v>
      </c>
      <c r="P9" s="10">
        <v>761</v>
      </c>
      <c r="Q9" s="10">
        <v>42</v>
      </c>
      <c r="R9" s="10">
        <v>1</v>
      </c>
    </row>
    <row r="10" spans="1:18" s="93" customFormat="1" ht="13.5" customHeight="1">
      <c r="A10" s="524" t="s">
        <v>590</v>
      </c>
      <c r="B10" s="534" t="s">
        <v>580</v>
      </c>
      <c r="C10" s="234" t="s">
        <v>702</v>
      </c>
      <c r="D10" s="140">
        <v>219</v>
      </c>
      <c r="E10" s="56">
        <v>47</v>
      </c>
      <c r="F10" s="56">
        <v>0</v>
      </c>
      <c r="G10" s="56">
        <v>2</v>
      </c>
      <c r="H10" s="56">
        <v>6</v>
      </c>
      <c r="I10" s="56">
        <v>12</v>
      </c>
      <c r="J10" s="56">
        <v>38</v>
      </c>
      <c r="K10" s="56">
        <v>78</v>
      </c>
      <c r="L10" s="56">
        <v>57</v>
      </c>
      <c r="M10" s="56">
        <v>24</v>
      </c>
      <c r="N10" s="56">
        <v>2</v>
      </c>
      <c r="O10" s="56">
        <v>52</v>
      </c>
      <c r="P10" s="56">
        <v>166</v>
      </c>
      <c r="Q10" s="56">
        <v>1</v>
      </c>
      <c r="R10" s="56">
        <v>0</v>
      </c>
    </row>
    <row r="11" spans="1:18" s="93" customFormat="1" ht="13.5" customHeight="1">
      <c r="A11" s="525"/>
      <c r="B11" s="516"/>
      <c r="C11" s="124" t="s">
        <v>703</v>
      </c>
      <c r="D11" s="24">
        <v>104</v>
      </c>
      <c r="E11" s="10">
        <v>49</v>
      </c>
      <c r="F11" s="10">
        <v>0</v>
      </c>
      <c r="G11" s="10">
        <v>0</v>
      </c>
      <c r="H11" s="10">
        <v>2</v>
      </c>
      <c r="I11" s="10">
        <v>1</v>
      </c>
      <c r="J11" s="10">
        <v>16</v>
      </c>
      <c r="K11" s="10">
        <v>31</v>
      </c>
      <c r="L11" s="10">
        <v>35</v>
      </c>
      <c r="M11" s="10">
        <v>18</v>
      </c>
      <c r="N11" s="10">
        <v>1</v>
      </c>
      <c r="O11" s="10">
        <v>26</v>
      </c>
      <c r="P11" s="10">
        <v>78</v>
      </c>
      <c r="Q11" s="10">
        <v>0</v>
      </c>
      <c r="R11" s="10">
        <v>0</v>
      </c>
    </row>
    <row r="12" spans="1:18" s="93" customFormat="1" ht="13.5" customHeight="1">
      <c r="A12" s="525"/>
      <c r="B12" s="517"/>
      <c r="C12" s="235" t="s">
        <v>704</v>
      </c>
      <c r="D12" s="24">
        <v>115</v>
      </c>
      <c r="E12" s="10">
        <v>46</v>
      </c>
      <c r="F12" s="10">
        <v>0</v>
      </c>
      <c r="G12" s="10">
        <v>2</v>
      </c>
      <c r="H12" s="10">
        <v>4</v>
      </c>
      <c r="I12" s="10">
        <v>11</v>
      </c>
      <c r="J12" s="10">
        <v>22</v>
      </c>
      <c r="K12" s="10">
        <v>47</v>
      </c>
      <c r="L12" s="10">
        <v>22</v>
      </c>
      <c r="M12" s="10">
        <v>6</v>
      </c>
      <c r="N12" s="10">
        <v>1</v>
      </c>
      <c r="O12" s="10">
        <v>26</v>
      </c>
      <c r="P12" s="10">
        <v>88</v>
      </c>
      <c r="Q12" s="10">
        <v>1</v>
      </c>
      <c r="R12" s="10">
        <v>0</v>
      </c>
    </row>
    <row r="13" spans="1:18" s="93" customFormat="1" ht="13.5" customHeight="1">
      <c r="A13" s="525"/>
      <c r="B13" s="491" t="s">
        <v>520</v>
      </c>
      <c r="C13" s="234" t="s">
        <v>702</v>
      </c>
      <c r="D13" s="54">
        <v>26</v>
      </c>
      <c r="E13" s="55">
        <v>45</v>
      </c>
      <c r="F13" s="55">
        <v>0</v>
      </c>
      <c r="G13" s="55">
        <v>0</v>
      </c>
      <c r="H13" s="55">
        <v>2</v>
      </c>
      <c r="I13" s="55">
        <v>1</v>
      </c>
      <c r="J13" s="55">
        <v>4</v>
      </c>
      <c r="K13" s="55">
        <v>12</v>
      </c>
      <c r="L13" s="55">
        <v>5</v>
      </c>
      <c r="M13" s="55">
        <v>2</v>
      </c>
      <c r="N13" s="55">
        <v>0</v>
      </c>
      <c r="O13" s="55">
        <v>4</v>
      </c>
      <c r="P13" s="55">
        <v>22</v>
      </c>
      <c r="Q13" s="55">
        <v>0</v>
      </c>
      <c r="R13" s="55">
        <v>0</v>
      </c>
    </row>
    <row r="14" spans="1:18" s="93" customFormat="1" ht="13.5" customHeight="1">
      <c r="A14" s="525"/>
      <c r="B14" s="492"/>
      <c r="C14" s="124" t="s">
        <v>703</v>
      </c>
      <c r="D14" s="24">
        <v>14</v>
      </c>
      <c r="E14" s="10">
        <v>47</v>
      </c>
      <c r="F14" s="10">
        <v>0</v>
      </c>
      <c r="G14" s="10">
        <v>0</v>
      </c>
      <c r="H14" s="10">
        <v>1</v>
      </c>
      <c r="I14" s="10">
        <v>1</v>
      </c>
      <c r="J14" s="10">
        <v>1</v>
      </c>
      <c r="K14" s="10">
        <v>4</v>
      </c>
      <c r="L14" s="10">
        <v>5</v>
      </c>
      <c r="M14" s="10">
        <v>2</v>
      </c>
      <c r="N14" s="10">
        <v>0</v>
      </c>
      <c r="O14" s="10">
        <v>2</v>
      </c>
      <c r="P14" s="10">
        <v>12</v>
      </c>
      <c r="Q14" s="10">
        <v>0</v>
      </c>
      <c r="R14" s="10">
        <v>0</v>
      </c>
    </row>
    <row r="15" spans="1:18" s="93" customFormat="1" ht="13.5" customHeight="1">
      <c r="A15" s="525"/>
      <c r="B15" s="493"/>
      <c r="C15" s="235" t="s">
        <v>704</v>
      </c>
      <c r="D15" s="24">
        <v>12</v>
      </c>
      <c r="E15" s="10">
        <v>43</v>
      </c>
      <c r="F15" s="10">
        <v>0</v>
      </c>
      <c r="G15" s="10">
        <v>0</v>
      </c>
      <c r="H15" s="10">
        <v>1</v>
      </c>
      <c r="I15" s="10">
        <v>0</v>
      </c>
      <c r="J15" s="10">
        <v>3</v>
      </c>
      <c r="K15" s="10">
        <v>8</v>
      </c>
      <c r="L15" s="10">
        <v>0</v>
      </c>
      <c r="M15" s="10">
        <v>0</v>
      </c>
      <c r="N15" s="10">
        <v>0</v>
      </c>
      <c r="O15" s="10">
        <v>2</v>
      </c>
      <c r="P15" s="10">
        <v>10</v>
      </c>
      <c r="Q15" s="10">
        <v>0</v>
      </c>
      <c r="R15" s="10">
        <v>0</v>
      </c>
    </row>
    <row r="16" spans="1:18" s="93" customFormat="1" ht="13.5" customHeight="1">
      <c r="A16" s="525"/>
      <c r="B16" s="492" t="s">
        <v>522</v>
      </c>
      <c r="C16" s="234" t="s">
        <v>702</v>
      </c>
      <c r="D16" s="54">
        <v>44</v>
      </c>
      <c r="E16" s="55">
        <v>48</v>
      </c>
      <c r="F16" s="55">
        <v>0</v>
      </c>
      <c r="G16" s="55">
        <v>0</v>
      </c>
      <c r="H16" s="55">
        <v>2</v>
      </c>
      <c r="I16" s="55">
        <v>1</v>
      </c>
      <c r="J16" s="55">
        <v>3</v>
      </c>
      <c r="K16" s="55">
        <v>26</v>
      </c>
      <c r="L16" s="55">
        <v>9</v>
      </c>
      <c r="M16" s="55">
        <v>3</v>
      </c>
      <c r="N16" s="55">
        <v>0</v>
      </c>
      <c r="O16" s="55">
        <v>12</v>
      </c>
      <c r="P16" s="55">
        <v>32</v>
      </c>
      <c r="Q16" s="55">
        <v>0</v>
      </c>
      <c r="R16" s="55">
        <v>0</v>
      </c>
    </row>
    <row r="17" spans="1:18" s="93" customFormat="1" ht="13.5" customHeight="1">
      <c r="A17" s="525"/>
      <c r="B17" s="492"/>
      <c r="C17" s="124" t="s">
        <v>703</v>
      </c>
      <c r="D17" s="24">
        <v>16</v>
      </c>
      <c r="E17" s="10">
        <v>49</v>
      </c>
      <c r="F17" s="10">
        <v>0</v>
      </c>
      <c r="G17" s="10">
        <v>0</v>
      </c>
      <c r="H17" s="10">
        <v>0</v>
      </c>
      <c r="I17" s="10">
        <v>0</v>
      </c>
      <c r="J17" s="10">
        <v>2</v>
      </c>
      <c r="K17" s="10">
        <v>8</v>
      </c>
      <c r="L17" s="10">
        <v>5</v>
      </c>
      <c r="M17" s="10">
        <v>1</v>
      </c>
      <c r="N17" s="10">
        <v>0</v>
      </c>
      <c r="O17" s="10">
        <v>5</v>
      </c>
      <c r="P17" s="10">
        <v>11</v>
      </c>
      <c r="Q17" s="10">
        <v>0</v>
      </c>
      <c r="R17" s="10">
        <v>0</v>
      </c>
    </row>
    <row r="18" spans="1:18" s="93" customFormat="1" ht="13.5" customHeight="1">
      <c r="A18" s="525"/>
      <c r="B18" s="492"/>
      <c r="C18" s="235" t="s">
        <v>704</v>
      </c>
      <c r="D18" s="24">
        <v>28</v>
      </c>
      <c r="E18" s="10">
        <v>47</v>
      </c>
      <c r="F18" s="10">
        <v>0</v>
      </c>
      <c r="G18" s="10">
        <v>0</v>
      </c>
      <c r="H18" s="10">
        <v>2</v>
      </c>
      <c r="I18" s="10">
        <v>1</v>
      </c>
      <c r="J18" s="10">
        <v>1</v>
      </c>
      <c r="K18" s="10">
        <v>18</v>
      </c>
      <c r="L18" s="10">
        <v>4</v>
      </c>
      <c r="M18" s="10">
        <v>2</v>
      </c>
      <c r="N18" s="10">
        <v>0</v>
      </c>
      <c r="O18" s="10">
        <v>7</v>
      </c>
      <c r="P18" s="10">
        <v>21</v>
      </c>
      <c r="Q18" s="10">
        <v>0</v>
      </c>
      <c r="R18" s="10">
        <v>0</v>
      </c>
    </row>
    <row r="19" spans="1:18" s="93" customFormat="1" ht="13.5" customHeight="1">
      <c r="A19" s="525"/>
      <c r="B19" s="491" t="s">
        <v>532</v>
      </c>
      <c r="C19" s="234" t="s">
        <v>702</v>
      </c>
      <c r="D19" s="54">
        <v>22</v>
      </c>
      <c r="E19" s="55">
        <v>45</v>
      </c>
      <c r="F19" s="55">
        <v>0</v>
      </c>
      <c r="G19" s="55">
        <v>0</v>
      </c>
      <c r="H19" s="55">
        <v>0</v>
      </c>
      <c r="I19" s="55">
        <v>4</v>
      </c>
      <c r="J19" s="55">
        <v>6</v>
      </c>
      <c r="K19" s="55">
        <v>7</v>
      </c>
      <c r="L19" s="55">
        <v>5</v>
      </c>
      <c r="M19" s="55">
        <v>0</v>
      </c>
      <c r="N19" s="55">
        <v>0</v>
      </c>
      <c r="O19" s="55">
        <v>8</v>
      </c>
      <c r="P19" s="55">
        <v>14</v>
      </c>
      <c r="Q19" s="55">
        <v>0</v>
      </c>
      <c r="R19" s="55">
        <v>0</v>
      </c>
    </row>
    <row r="20" spans="1:18" s="93" customFormat="1" ht="14.25" customHeight="1">
      <c r="A20" s="525"/>
      <c r="B20" s="492"/>
      <c r="C20" s="124" t="s">
        <v>703</v>
      </c>
      <c r="D20" s="24">
        <v>13</v>
      </c>
      <c r="E20" s="10">
        <v>47</v>
      </c>
      <c r="F20" s="10">
        <v>0</v>
      </c>
      <c r="G20" s="10">
        <v>0</v>
      </c>
      <c r="H20" s="10">
        <v>0</v>
      </c>
      <c r="I20" s="10">
        <v>0</v>
      </c>
      <c r="J20" s="10">
        <v>5</v>
      </c>
      <c r="K20" s="10">
        <v>3</v>
      </c>
      <c r="L20" s="10">
        <v>5</v>
      </c>
      <c r="M20" s="10">
        <v>0</v>
      </c>
      <c r="N20" s="10">
        <v>0</v>
      </c>
      <c r="O20" s="10">
        <v>4</v>
      </c>
      <c r="P20" s="10">
        <v>9</v>
      </c>
      <c r="Q20" s="10">
        <v>0</v>
      </c>
      <c r="R20" s="10">
        <v>0</v>
      </c>
    </row>
    <row r="21" spans="1:18" s="93" customFormat="1" ht="14.25">
      <c r="A21" s="525"/>
      <c r="B21" s="493"/>
      <c r="C21" s="235" t="s">
        <v>704</v>
      </c>
      <c r="D21" s="24">
        <v>9</v>
      </c>
      <c r="E21" s="10">
        <v>42</v>
      </c>
      <c r="F21" s="10">
        <v>0</v>
      </c>
      <c r="G21" s="10">
        <v>0</v>
      </c>
      <c r="H21" s="10">
        <v>0</v>
      </c>
      <c r="I21" s="10">
        <v>4</v>
      </c>
      <c r="J21" s="10">
        <v>1</v>
      </c>
      <c r="K21" s="10">
        <v>4</v>
      </c>
      <c r="L21" s="10">
        <v>0</v>
      </c>
      <c r="M21" s="10">
        <v>0</v>
      </c>
      <c r="N21" s="10">
        <v>0</v>
      </c>
      <c r="O21" s="10">
        <v>4</v>
      </c>
      <c r="P21" s="10">
        <v>5</v>
      </c>
      <c r="Q21" s="10">
        <v>0</v>
      </c>
      <c r="R21" s="10">
        <v>0</v>
      </c>
    </row>
    <row r="22" spans="1:18" s="93" customFormat="1" ht="14.25">
      <c r="A22" s="525"/>
      <c r="B22" s="492" t="s">
        <v>533</v>
      </c>
      <c r="C22" s="234" t="s">
        <v>702</v>
      </c>
      <c r="D22" s="54">
        <v>38</v>
      </c>
      <c r="E22" s="55">
        <v>48</v>
      </c>
      <c r="F22" s="55">
        <v>0</v>
      </c>
      <c r="G22" s="55">
        <v>2</v>
      </c>
      <c r="H22" s="55">
        <v>0</v>
      </c>
      <c r="I22" s="55">
        <v>0</v>
      </c>
      <c r="J22" s="55">
        <v>7</v>
      </c>
      <c r="K22" s="55">
        <v>12</v>
      </c>
      <c r="L22" s="55">
        <v>14</v>
      </c>
      <c r="M22" s="55">
        <v>2</v>
      </c>
      <c r="N22" s="55">
        <v>1</v>
      </c>
      <c r="O22" s="55">
        <v>10</v>
      </c>
      <c r="P22" s="55">
        <v>27</v>
      </c>
      <c r="Q22" s="55">
        <v>1</v>
      </c>
      <c r="R22" s="55">
        <v>0</v>
      </c>
    </row>
    <row r="23" spans="1:18" s="93" customFormat="1" ht="14.25">
      <c r="A23" s="522" t="s">
        <v>591</v>
      </c>
      <c r="B23" s="492"/>
      <c r="C23" s="124" t="s">
        <v>703</v>
      </c>
      <c r="D23" s="24">
        <v>18</v>
      </c>
      <c r="E23" s="10">
        <v>50</v>
      </c>
      <c r="F23" s="10">
        <v>0</v>
      </c>
      <c r="G23" s="10">
        <v>0</v>
      </c>
      <c r="H23" s="10">
        <v>0</v>
      </c>
      <c r="I23" s="10">
        <v>0</v>
      </c>
      <c r="J23" s="10">
        <v>3</v>
      </c>
      <c r="K23" s="10">
        <v>5</v>
      </c>
      <c r="L23" s="10">
        <v>9</v>
      </c>
      <c r="M23" s="10">
        <v>1</v>
      </c>
      <c r="N23" s="10">
        <v>0</v>
      </c>
      <c r="O23" s="10">
        <v>6</v>
      </c>
      <c r="P23" s="10">
        <v>12</v>
      </c>
      <c r="Q23" s="10">
        <v>0</v>
      </c>
      <c r="R23" s="10">
        <v>0</v>
      </c>
    </row>
    <row r="24" spans="1:18" s="93" customFormat="1" ht="14.25">
      <c r="A24" s="522"/>
      <c r="B24" s="492"/>
      <c r="C24" s="235" t="s">
        <v>704</v>
      </c>
      <c r="D24" s="24">
        <v>20</v>
      </c>
      <c r="E24" s="10">
        <v>47</v>
      </c>
      <c r="F24" s="10">
        <v>0</v>
      </c>
      <c r="G24" s="10">
        <v>2</v>
      </c>
      <c r="H24" s="10">
        <v>0</v>
      </c>
      <c r="I24" s="10">
        <v>0</v>
      </c>
      <c r="J24" s="10">
        <v>4</v>
      </c>
      <c r="K24" s="10">
        <v>7</v>
      </c>
      <c r="L24" s="10">
        <v>5</v>
      </c>
      <c r="M24" s="10">
        <v>1</v>
      </c>
      <c r="N24" s="10">
        <v>1</v>
      </c>
      <c r="O24" s="10">
        <v>4</v>
      </c>
      <c r="P24" s="10">
        <v>15</v>
      </c>
      <c r="Q24" s="10">
        <v>1</v>
      </c>
      <c r="R24" s="10">
        <v>0</v>
      </c>
    </row>
    <row r="25" spans="1:18" s="93" customFormat="1" ht="14.25">
      <c r="A25" s="522"/>
      <c r="B25" s="491" t="s">
        <v>534</v>
      </c>
      <c r="C25" s="234" t="s">
        <v>702</v>
      </c>
      <c r="D25" s="54">
        <v>27</v>
      </c>
      <c r="E25" s="55">
        <v>50</v>
      </c>
      <c r="F25" s="55">
        <v>0</v>
      </c>
      <c r="G25" s="55">
        <v>0</v>
      </c>
      <c r="H25" s="55">
        <v>0</v>
      </c>
      <c r="I25" s="55">
        <v>0</v>
      </c>
      <c r="J25" s="55">
        <v>3</v>
      </c>
      <c r="K25" s="55">
        <v>7</v>
      </c>
      <c r="L25" s="55">
        <v>13</v>
      </c>
      <c r="M25" s="55">
        <v>3</v>
      </c>
      <c r="N25" s="55">
        <v>1</v>
      </c>
      <c r="O25" s="55">
        <v>4</v>
      </c>
      <c r="P25" s="55">
        <v>23</v>
      </c>
      <c r="Q25" s="55">
        <v>0</v>
      </c>
      <c r="R25" s="55">
        <v>0</v>
      </c>
    </row>
    <row r="26" spans="1:18" s="93" customFormat="1" ht="14.25">
      <c r="A26" s="522"/>
      <c r="B26" s="492"/>
      <c r="C26" s="124" t="s">
        <v>703</v>
      </c>
      <c r="D26" s="24">
        <v>13</v>
      </c>
      <c r="E26" s="10">
        <v>51</v>
      </c>
      <c r="F26" s="10">
        <v>0</v>
      </c>
      <c r="G26" s="10">
        <v>0</v>
      </c>
      <c r="H26" s="10">
        <v>0</v>
      </c>
      <c r="I26" s="10">
        <v>0</v>
      </c>
      <c r="J26" s="10">
        <v>3</v>
      </c>
      <c r="K26" s="10">
        <v>1</v>
      </c>
      <c r="L26" s="10">
        <v>5</v>
      </c>
      <c r="M26" s="10">
        <v>3</v>
      </c>
      <c r="N26" s="10">
        <v>1</v>
      </c>
      <c r="O26" s="10">
        <v>2</v>
      </c>
      <c r="P26" s="10">
        <v>11</v>
      </c>
      <c r="Q26" s="10">
        <v>0</v>
      </c>
      <c r="R26" s="10">
        <v>0</v>
      </c>
    </row>
    <row r="27" spans="1:18" s="93" customFormat="1" ht="14.25">
      <c r="A27" s="522"/>
      <c r="B27" s="493"/>
      <c r="C27" s="235" t="s">
        <v>704</v>
      </c>
      <c r="D27" s="24">
        <v>14</v>
      </c>
      <c r="E27" s="10">
        <v>50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6</v>
      </c>
      <c r="L27" s="10">
        <v>8</v>
      </c>
      <c r="M27" s="10">
        <v>0</v>
      </c>
      <c r="N27" s="10">
        <v>0</v>
      </c>
      <c r="O27" s="10">
        <v>2</v>
      </c>
      <c r="P27" s="10">
        <v>12</v>
      </c>
      <c r="Q27" s="10">
        <v>0</v>
      </c>
      <c r="R27" s="10">
        <v>0</v>
      </c>
    </row>
    <row r="28" spans="1:18" s="93" customFormat="1" ht="14.25">
      <c r="A28" s="522"/>
      <c r="B28" s="491" t="s">
        <v>535</v>
      </c>
      <c r="C28" s="234" t="s">
        <v>702</v>
      </c>
      <c r="D28" s="54">
        <v>14</v>
      </c>
      <c r="E28" s="55">
        <v>46</v>
      </c>
      <c r="F28" s="55">
        <v>0</v>
      </c>
      <c r="G28" s="55">
        <v>0</v>
      </c>
      <c r="H28" s="55">
        <v>0</v>
      </c>
      <c r="I28" s="55">
        <v>1</v>
      </c>
      <c r="J28" s="55">
        <v>5</v>
      </c>
      <c r="K28" s="55">
        <v>4</v>
      </c>
      <c r="L28" s="55">
        <v>3</v>
      </c>
      <c r="M28" s="55">
        <v>1</v>
      </c>
      <c r="N28" s="55">
        <v>0</v>
      </c>
      <c r="O28" s="55">
        <v>2</v>
      </c>
      <c r="P28" s="55">
        <v>12</v>
      </c>
      <c r="Q28" s="55">
        <v>0</v>
      </c>
      <c r="R28" s="55">
        <v>0</v>
      </c>
    </row>
    <row r="29" spans="1:18" s="93" customFormat="1" ht="14.25">
      <c r="A29" s="522"/>
      <c r="B29" s="492"/>
      <c r="C29" s="124" t="s">
        <v>703</v>
      </c>
      <c r="D29" s="24">
        <v>6</v>
      </c>
      <c r="E29" s="10">
        <v>49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2</v>
      </c>
      <c r="L29" s="10">
        <v>2</v>
      </c>
      <c r="M29" s="10">
        <v>1</v>
      </c>
      <c r="N29" s="10">
        <v>0</v>
      </c>
      <c r="O29" s="10">
        <v>1</v>
      </c>
      <c r="P29" s="10">
        <v>5</v>
      </c>
      <c r="Q29" s="10">
        <v>0</v>
      </c>
      <c r="R29" s="10">
        <v>0</v>
      </c>
    </row>
    <row r="30" spans="1:18" s="93" customFormat="1" ht="14.25">
      <c r="A30" s="522"/>
      <c r="B30" s="493"/>
      <c r="C30" s="235" t="s">
        <v>704</v>
      </c>
      <c r="D30" s="24">
        <v>8</v>
      </c>
      <c r="E30" s="10">
        <v>43</v>
      </c>
      <c r="F30" s="10">
        <v>0</v>
      </c>
      <c r="G30" s="10">
        <v>0</v>
      </c>
      <c r="H30" s="10">
        <v>0</v>
      </c>
      <c r="I30" s="10">
        <v>1</v>
      </c>
      <c r="J30" s="10">
        <v>4</v>
      </c>
      <c r="K30" s="10">
        <v>2</v>
      </c>
      <c r="L30" s="10">
        <v>1</v>
      </c>
      <c r="M30" s="10">
        <v>0</v>
      </c>
      <c r="N30" s="10">
        <v>0</v>
      </c>
      <c r="O30" s="10">
        <v>1</v>
      </c>
      <c r="P30" s="10">
        <v>7</v>
      </c>
      <c r="Q30" s="10">
        <v>0</v>
      </c>
      <c r="R30" s="10">
        <v>0</v>
      </c>
    </row>
    <row r="31" spans="1:18" s="93" customFormat="1" ht="15.75" customHeight="1">
      <c r="A31" s="522"/>
      <c r="B31" s="491" t="s">
        <v>536</v>
      </c>
      <c r="C31" s="234" t="s">
        <v>702</v>
      </c>
      <c r="D31" s="54">
        <v>15</v>
      </c>
      <c r="E31" s="55">
        <v>50</v>
      </c>
      <c r="F31" s="55">
        <v>0</v>
      </c>
      <c r="G31" s="55">
        <v>0</v>
      </c>
      <c r="H31" s="55">
        <v>0</v>
      </c>
      <c r="I31" s="55">
        <v>1</v>
      </c>
      <c r="J31" s="55">
        <v>2</v>
      </c>
      <c r="K31" s="55">
        <v>3</v>
      </c>
      <c r="L31" s="55">
        <v>3</v>
      </c>
      <c r="M31" s="55">
        <v>6</v>
      </c>
      <c r="N31" s="55">
        <v>0</v>
      </c>
      <c r="O31" s="55">
        <v>2</v>
      </c>
      <c r="P31" s="55">
        <v>13</v>
      </c>
      <c r="Q31" s="55">
        <v>0</v>
      </c>
      <c r="R31" s="55">
        <v>0</v>
      </c>
    </row>
    <row r="32" spans="1:18" s="93" customFormat="1" ht="15.75" customHeight="1">
      <c r="A32" s="522"/>
      <c r="B32" s="492"/>
      <c r="C32" s="124" t="s">
        <v>703</v>
      </c>
      <c r="D32" s="24">
        <v>10</v>
      </c>
      <c r="E32" s="10">
        <v>52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3</v>
      </c>
      <c r="L32" s="10">
        <v>1</v>
      </c>
      <c r="M32" s="10">
        <v>5</v>
      </c>
      <c r="N32" s="10">
        <v>0</v>
      </c>
      <c r="O32" s="10">
        <v>2</v>
      </c>
      <c r="P32" s="10">
        <v>8</v>
      </c>
      <c r="Q32" s="10">
        <v>0</v>
      </c>
      <c r="R32" s="10">
        <v>0</v>
      </c>
    </row>
    <row r="33" spans="1:18" s="93" customFormat="1" ht="15.75" customHeight="1">
      <c r="A33" s="522"/>
      <c r="B33" s="493"/>
      <c r="C33" s="235" t="s">
        <v>704</v>
      </c>
      <c r="D33" s="24">
        <v>5</v>
      </c>
      <c r="E33" s="10">
        <v>47</v>
      </c>
      <c r="F33" s="10">
        <v>0</v>
      </c>
      <c r="G33" s="10">
        <v>0</v>
      </c>
      <c r="H33" s="10">
        <v>0</v>
      </c>
      <c r="I33" s="10">
        <v>1</v>
      </c>
      <c r="J33" s="10">
        <v>1</v>
      </c>
      <c r="K33" s="10">
        <v>0</v>
      </c>
      <c r="L33" s="10">
        <v>2</v>
      </c>
      <c r="M33" s="10">
        <v>1</v>
      </c>
      <c r="N33" s="10">
        <v>0</v>
      </c>
      <c r="O33" s="10">
        <v>0</v>
      </c>
      <c r="P33" s="10">
        <v>5</v>
      </c>
      <c r="Q33" s="10">
        <v>0</v>
      </c>
      <c r="R33" s="10">
        <v>0</v>
      </c>
    </row>
    <row r="34" spans="1:18" ht="15.75" customHeight="1">
      <c r="A34" s="522"/>
      <c r="B34" s="491" t="s">
        <v>537</v>
      </c>
      <c r="C34" s="234" t="s">
        <v>702</v>
      </c>
      <c r="D34" s="54">
        <v>33</v>
      </c>
      <c r="E34" s="55">
        <v>47</v>
      </c>
      <c r="F34" s="55">
        <v>0</v>
      </c>
      <c r="G34" s="55">
        <v>0</v>
      </c>
      <c r="H34" s="55">
        <v>2</v>
      </c>
      <c r="I34" s="55">
        <v>4</v>
      </c>
      <c r="J34" s="55">
        <v>8</v>
      </c>
      <c r="K34" s="55">
        <v>7</v>
      </c>
      <c r="L34" s="55">
        <v>5</v>
      </c>
      <c r="M34" s="55">
        <v>7</v>
      </c>
      <c r="N34" s="55">
        <v>0</v>
      </c>
      <c r="O34" s="55">
        <v>10</v>
      </c>
      <c r="P34" s="55">
        <v>23</v>
      </c>
      <c r="Q34" s="55">
        <v>0</v>
      </c>
      <c r="R34" s="55">
        <v>0</v>
      </c>
    </row>
    <row r="35" spans="1:18" ht="15.75" customHeight="1">
      <c r="A35" s="522"/>
      <c r="B35" s="492"/>
      <c r="C35" s="124" t="s">
        <v>703</v>
      </c>
      <c r="D35" s="64">
        <v>14</v>
      </c>
      <c r="E35" s="49">
        <v>51</v>
      </c>
      <c r="F35" s="59">
        <v>0</v>
      </c>
      <c r="G35" s="58">
        <v>0</v>
      </c>
      <c r="H35" s="58">
        <v>1</v>
      </c>
      <c r="I35" s="58">
        <v>0</v>
      </c>
      <c r="J35" s="58">
        <v>0</v>
      </c>
      <c r="K35" s="58">
        <v>5</v>
      </c>
      <c r="L35" s="58">
        <v>3</v>
      </c>
      <c r="M35" s="58">
        <v>5</v>
      </c>
      <c r="N35" s="58">
        <v>0</v>
      </c>
      <c r="O35" s="58">
        <v>4</v>
      </c>
      <c r="P35" s="59">
        <v>10</v>
      </c>
      <c r="Q35" s="59">
        <v>0</v>
      </c>
      <c r="R35" s="59">
        <v>0</v>
      </c>
    </row>
    <row r="36" spans="1:18" ht="15.75" customHeight="1">
      <c r="A36" s="522"/>
      <c r="B36" s="492"/>
      <c r="C36" s="235" t="s">
        <v>704</v>
      </c>
      <c r="D36" s="64">
        <v>19</v>
      </c>
      <c r="E36" s="49">
        <v>44</v>
      </c>
      <c r="F36" s="59">
        <v>0</v>
      </c>
      <c r="G36" s="58">
        <v>0</v>
      </c>
      <c r="H36" s="58">
        <v>1</v>
      </c>
      <c r="I36" s="58">
        <v>4</v>
      </c>
      <c r="J36" s="58">
        <v>8</v>
      </c>
      <c r="K36" s="58">
        <v>2</v>
      </c>
      <c r="L36" s="58">
        <v>2</v>
      </c>
      <c r="M36" s="58">
        <v>2</v>
      </c>
      <c r="N36" s="58">
        <v>0</v>
      </c>
      <c r="O36" s="58">
        <v>6</v>
      </c>
      <c r="P36" s="59">
        <v>13</v>
      </c>
      <c r="Q36" s="59">
        <v>0</v>
      </c>
      <c r="R36" s="59">
        <v>0</v>
      </c>
    </row>
    <row r="37" spans="1:18" ht="15.75" customHeight="1">
      <c r="A37" s="571" t="s">
        <v>592</v>
      </c>
      <c r="B37" s="536" t="s">
        <v>580</v>
      </c>
      <c r="C37" s="234" t="s">
        <v>702</v>
      </c>
      <c r="D37" s="140">
        <v>814</v>
      </c>
      <c r="E37" s="56">
        <v>40</v>
      </c>
      <c r="F37" s="56">
        <v>2</v>
      </c>
      <c r="G37" s="56">
        <v>52</v>
      </c>
      <c r="H37" s="56">
        <v>129</v>
      </c>
      <c r="I37" s="56">
        <v>208</v>
      </c>
      <c r="J37" s="56">
        <v>171</v>
      </c>
      <c r="K37" s="56">
        <v>151</v>
      </c>
      <c r="L37" s="56">
        <v>76</v>
      </c>
      <c r="M37" s="56">
        <v>18</v>
      </c>
      <c r="N37" s="56">
        <v>7</v>
      </c>
      <c r="O37" s="56">
        <v>82</v>
      </c>
      <c r="P37" s="56">
        <v>697</v>
      </c>
      <c r="Q37" s="56">
        <v>34</v>
      </c>
      <c r="R37" s="56">
        <v>1</v>
      </c>
    </row>
    <row r="38" spans="1:18" ht="15.75" customHeight="1">
      <c r="A38" s="572"/>
      <c r="B38" s="492"/>
      <c r="C38" s="124" t="s">
        <v>703</v>
      </c>
      <c r="D38" s="24">
        <v>192</v>
      </c>
      <c r="E38" s="10">
        <v>42</v>
      </c>
      <c r="F38" s="10">
        <v>1</v>
      </c>
      <c r="G38" s="10">
        <v>3</v>
      </c>
      <c r="H38" s="10">
        <v>16</v>
      </c>
      <c r="I38" s="10">
        <v>52</v>
      </c>
      <c r="J38" s="10">
        <v>51</v>
      </c>
      <c r="K38" s="10">
        <v>38</v>
      </c>
      <c r="L38" s="10">
        <v>26</v>
      </c>
      <c r="M38" s="10">
        <v>4</v>
      </c>
      <c r="N38" s="10">
        <v>1</v>
      </c>
      <c r="O38" s="10">
        <v>30</v>
      </c>
      <c r="P38" s="10">
        <v>159</v>
      </c>
      <c r="Q38" s="10">
        <v>3</v>
      </c>
      <c r="R38" s="10">
        <v>0</v>
      </c>
    </row>
    <row r="39" spans="1:18" ht="15.75" customHeight="1">
      <c r="A39" s="572"/>
      <c r="B39" s="492"/>
      <c r="C39" s="235" t="s">
        <v>704</v>
      </c>
      <c r="D39" s="24">
        <v>622</v>
      </c>
      <c r="E39" s="10">
        <v>39</v>
      </c>
      <c r="F39" s="10">
        <v>1</v>
      </c>
      <c r="G39" s="10">
        <v>49</v>
      </c>
      <c r="H39" s="10">
        <v>113</v>
      </c>
      <c r="I39" s="10">
        <v>156</v>
      </c>
      <c r="J39" s="10">
        <v>120</v>
      </c>
      <c r="K39" s="10">
        <v>113</v>
      </c>
      <c r="L39" s="10">
        <v>50</v>
      </c>
      <c r="M39" s="10">
        <v>14</v>
      </c>
      <c r="N39" s="10">
        <v>6</v>
      </c>
      <c r="O39" s="10">
        <v>52</v>
      </c>
      <c r="P39" s="10">
        <v>538</v>
      </c>
      <c r="Q39" s="10">
        <v>31</v>
      </c>
      <c r="R39" s="10">
        <v>1</v>
      </c>
    </row>
    <row r="40" spans="1:43" s="93" customFormat="1" ht="15.75" customHeight="1">
      <c r="A40" s="572"/>
      <c r="B40" s="491" t="s">
        <v>519</v>
      </c>
      <c r="C40" s="234" t="s">
        <v>702</v>
      </c>
      <c r="D40" s="54">
        <v>33</v>
      </c>
      <c r="E40" s="55">
        <v>38</v>
      </c>
      <c r="F40" s="55">
        <v>0</v>
      </c>
      <c r="G40" s="55">
        <v>2</v>
      </c>
      <c r="H40" s="55">
        <v>9</v>
      </c>
      <c r="I40" s="55">
        <v>7</v>
      </c>
      <c r="J40" s="55">
        <v>9</v>
      </c>
      <c r="K40" s="55">
        <v>4</v>
      </c>
      <c r="L40" s="55">
        <v>1</v>
      </c>
      <c r="M40" s="55">
        <v>1</v>
      </c>
      <c r="N40" s="55">
        <v>0</v>
      </c>
      <c r="O40" s="55">
        <v>0</v>
      </c>
      <c r="P40" s="55">
        <v>31</v>
      </c>
      <c r="Q40" s="55">
        <v>2</v>
      </c>
      <c r="R40" s="55">
        <v>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</row>
    <row r="41" spans="1:43" s="93" customFormat="1" ht="15.75" customHeight="1">
      <c r="A41" s="522" t="s">
        <v>593</v>
      </c>
      <c r="B41" s="492"/>
      <c r="C41" s="124" t="s">
        <v>703</v>
      </c>
      <c r="D41" s="24">
        <v>2</v>
      </c>
      <c r="E41" s="10">
        <v>42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2</v>
      </c>
      <c r="Q41" s="10">
        <v>0</v>
      </c>
      <c r="R41" s="10">
        <v>0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43" s="93" customFormat="1" ht="15.75" customHeight="1">
      <c r="A42" s="522"/>
      <c r="B42" s="493"/>
      <c r="C42" s="235" t="s">
        <v>704</v>
      </c>
      <c r="D42" s="24">
        <v>31</v>
      </c>
      <c r="E42" s="10">
        <v>38</v>
      </c>
      <c r="F42" s="10">
        <v>0</v>
      </c>
      <c r="G42" s="10">
        <v>2</v>
      </c>
      <c r="H42" s="10">
        <v>9</v>
      </c>
      <c r="I42" s="10">
        <v>6</v>
      </c>
      <c r="J42" s="10">
        <v>9</v>
      </c>
      <c r="K42" s="10">
        <v>3</v>
      </c>
      <c r="L42" s="10">
        <v>1</v>
      </c>
      <c r="M42" s="10">
        <v>1</v>
      </c>
      <c r="N42" s="10">
        <v>0</v>
      </c>
      <c r="O42" s="10">
        <v>0</v>
      </c>
      <c r="P42" s="10">
        <v>29</v>
      </c>
      <c r="Q42" s="10">
        <v>2</v>
      </c>
      <c r="R42" s="10">
        <v>0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s="93" customFormat="1" ht="15.75" customHeight="1">
      <c r="A43" s="522"/>
      <c r="B43" s="491" t="s">
        <v>520</v>
      </c>
      <c r="C43" s="234" t="s">
        <v>702</v>
      </c>
      <c r="D43" s="54">
        <v>29</v>
      </c>
      <c r="E43" s="55">
        <v>39</v>
      </c>
      <c r="F43" s="55">
        <v>0</v>
      </c>
      <c r="G43" s="55">
        <v>2</v>
      </c>
      <c r="H43" s="55">
        <v>6</v>
      </c>
      <c r="I43" s="55">
        <v>7</v>
      </c>
      <c r="J43" s="55">
        <v>6</v>
      </c>
      <c r="K43" s="55">
        <v>6</v>
      </c>
      <c r="L43" s="55">
        <v>1</v>
      </c>
      <c r="M43" s="55">
        <v>1</v>
      </c>
      <c r="N43" s="55">
        <v>0</v>
      </c>
      <c r="O43" s="55">
        <v>1</v>
      </c>
      <c r="P43" s="55">
        <v>26</v>
      </c>
      <c r="Q43" s="55">
        <v>2</v>
      </c>
      <c r="R43" s="55">
        <v>0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43" s="93" customFormat="1" ht="15.75" customHeight="1">
      <c r="A44" s="523"/>
      <c r="B44" s="492"/>
      <c r="C44" s="143" t="s">
        <v>703</v>
      </c>
      <c r="D44" s="24">
        <v>6</v>
      </c>
      <c r="E44" s="10">
        <v>43</v>
      </c>
      <c r="F44" s="10">
        <v>0</v>
      </c>
      <c r="G44" s="10">
        <v>0</v>
      </c>
      <c r="H44" s="10">
        <v>0</v>
      </c>
      <c r="I44" s="10">
        <v>2</v>
      </c>
      <c r="J44" s="10">
        <v>1</v>
      </c>
      <c r="K44" s="10">
        <v>3</v>
      </c>
      <c r="L44" s="10">
        <v>0</v>
      </c>
      <c r="M44" s="10">
        <v>0</v>
      </c>
      <c r="N44" s="10">
        <v>0</v>
      </c>
      <c r="O44" s="10">
        <v>0</v>
      </c>
      <c r="P44" s="10">
        <v>6</v>
      </c>
      <c r="Q44" s="10">
        <v>0</v>
      </c>
      <c r="R44" s="10">
        <v>0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43" s="93" customFormat="1" ht="15.75" customHeight="1">
      <c r="A45" s="522"/>
      <c r="B45" s="493"/>
      <c r="C45" s="143" t="s">
        <v>704</v>
      </c>
      <c r="D45" s="24">
        <v>23</v>
      </c>
      <c r="E45" s="10">
        <v>38</v>
      </c>
      <c r="F45" s="10">
        <v>0</v>
      </c>
      <c r="G45" s="10">
        <v>2</v>
      </c>
      <c r="H45" s="10">
        <v>6</v>
      </c>
      <c r="I45" s="10">
        <v>5</v>
      </c>
      <c r="J45" s="10">
        <v>5</v>
      </c>
      <c r="K45" s="10">
        <v>3</v>
      </c>
      <c r="L45" s="10">
        <v>1</v>
      </c>
      <c r="M45" s="10">
        <v>1</v>
      </c>
      <c r="N45" s="10">
        <v>0</v>
      </c>
      <c r="O45" s="10">
        <v>1</v>
      </c>
      <c r="P45" s="10">
        <v>20</v>
      </c>
      <c r="Q45" s="10">
        <v>2</v>
      </c>
      <c r="R45" s="10">
        <v>0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43" s="93" customFormat="1" ht="15.75" customHeight="1">
      <c r="A46" s="239"/>
      <c r="B46" s="119"/>
      <c r="C46" s="22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8" ht="16.5" customHeight="1"/>
    <row r="51" spans="1:18" ht="15.75">
      <c r="A51" s="573" t="str">
        <f>"- "&amp;Sheet1!B35&amp;" -"</f>
        <v>- 230 -</v>
      </c>
      <c r="B51" s="573"/>
      <c r="C51" s="573"/>
      <c r="D51" s="573"/>
      <c r="E51" s="573"/>
      <c r="F51" s="573"/>
      <c r="G51" s="573"/>
      <c r="H51" s="573"/>
      <c r="I51" s="573"/>
      <c r="J51" s="573" t="str">
        <f>"- "&amp;Sheet1!C35&amp;" -"</f>
        <v>- 231 -</v>
      </c>
      <c r="K51" s="573"/>
      <c r="L51" s="573"/>
      <c r="M51" s="573"/>
      <c r="N51" s="573"/>
      <c r="O51" s="573"/>
      <c r="P51" s="573"/>
      <c r="Q51" s="573"/>
      <c r="R51" s="573"/>
    </row>
  </sheetData>
  <sheetProtection/>
  <mergeCells count="29">
    <mergeCell ref="A10:A22"/>
    <mergeCell ref="A23:A36"/>
    <mergeCell ref="A37:A40"/>
    <mergeCell ref="A41:A45"/>
    <mergeCell ref="B43:B45"/>
    <mergeCell ref="B31:B33"/>
    <mergeCell ref="B34:B36"/>
    <mergeCell ref="B37:B39"/>
    <mergeCell ref="B40:B42"/>
    <mergeCell ref="D5:D6"/>
    <mergeCell ref="K3:Q3"/>
    <mergeCell ref="B25:B27"/>
    <mergeCell ref="B28:B30"/>
    <mergeCell ref="A7:B9"/>
    <mergeCell ref="B10:B12"/>
    <mergeCell ref="B13:B15"/>
    <mergeCell ref="B16:B18"/>
    <mergeCell ref="B19:B21"/>
    <mergeCell ref="B22:B24"/>
    <mergeCell ref="B3:H3"/>
    <mergeCell ref="A51:I51"/>
    <mergeCell ref="J51:R51"/>
    <mergeCell ref="K1:R1"/>
    <mergeCell ref="O5:R5"/>
    <mergeCell ref="K5:N5"/>
    <mergeCell ref="A5:C6"/>
    <mergeCell ref="F5:J5"/>
    <mergeCell ref="A1:J1"/>
    <mergeCell ref="E5:E6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Q54"/>
  <sheetViews>
    <sheetView view="pageLayout" zoomScaleSheetLayoutView="85" workbookViewId="0" topLeftCell="A27">
      <selection activeCell="A54" sqref="A54:I54"/>
    </sheetView>
  </sheetViews>
  <sheetFormatPr defaultColWidth="9.00390625" defaultRowHeight="16.5"/>
  <cols>
    <col min="1" max="1" width="6.00390625" style="85" customWidth="1"/>
    <col min="2" max="3" width="9.625" style="85" customWidth="1"/>
    <col min="4" max="4" width="11.375" style="85" customWidth="1"/>
    <col min="5" max="5" width="9.625" style="85" customWidth="1"/>
    <col min="6" max="9" width="10.125" style="85" customWidth="1"/>
    <col min="10" max="18" width="9.75390625" style="85" customWidth="1"/>
    <col min="19" max="16384" width="9.00390625" style="85" customWidth="1"/>
  </cols>
  <sheetData>
    <row r="1" spans="1:18" s="98" customFormat="1" ht="21.75" customHeight="1">
      <c r="A1" s="539" t="s">
        <v>594</v>
      </c>
      <c r="B1" s="505"/>
      <c r="C1" s="505"/>
      <c r="D1" s="505"/>
      <c r="E1" s="505"/>
      <c r="F1" s="505"/>
      <c r="G1" s="505"/>
      <c r="H1" s="505"/>
      <c r="I1" s="505"/>
      <c r="J1" s="505" t="s">
        <v>227</v>
      </c>
      <c r="K1" s="505"/>
      <c r="L1" s="505"/>
      <c r="M1" s="505"/>
      <c r="N1" s="505"/>
      <c r="O1" s="505"/>
      <c r="P1" s="505"/>
      <c r="Q1" s="505"/>
      <c r="R1" s="505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97" customFormat="1" ht="15" customHeight="1">
      <c r="A3" s="16"/>
      <c r="B3" s="587" t="s">
        <v>831</v>
      </c>
      <c r="C3" s="588"/>
      <c r="D3" s="588"/>
      <c r="E3" s="588"/>
      <c r="F3" s="588"/>
      <c r="G3" s="588"/>
      <c r="H3" s="588"/>
      <c r="I3" s="4" t="s">
        <v>675</v>
      </c>
      <c r="K3" s="586" t="s">
        <v>832</v>
      </c>
      <c r="L3" s="586"/>
      <c r="M3" s="586"/>
      <c r="N3" s="586"/>
      <c r="O3" s="586"/>
      <c r="P3" s="586"/>
      <c r="Q3" s="586"/>
      <c r="R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8" s="42" customFormat="1" ht="31.5" customHeight="1">
      <c r="A5" s="509"/>
      <c r="B5" s="509"/>
      <c r="C5" s="488"/>
      <c r="D5" s="507" t="s">
        <v>677</v>
      </c>
      <c r="E5" s="507" t="s">
        <v>680</v>
      </c>
      <c r="F5" s="495" t="s">
        <v>767</v>
      </c>
      <c r="G5" s="496"/>
      <c r="H5" s="496"/>
      <c r="I5" s="496"/>
      <c r="J5" s="487"/>
      <c r="K5" s="496" t="s">
        <v>682</v>
      </c>
      <c r="L5" s="496"/>
      <c r="M5" s="496"/>
      <c r="N5" s="514"/>
      <c r="O5" s="495" t="s">
        <v>768</v>
      </c>
      <c r="P5" s="496"/>
      <c r="Q5" s="496"/>
      <c r="R5" s="496"/>
    </row>
    <row r="6" spans="1:18" s="42" customFormat="1" ht="65.25" customHeight="1">
      <c r="A6" s="510"/>
      <c r="B6" s="510"/>
      <c r="C6" s="511"/>
      <c r="D6" s="517"/>
      <c r="E6" s="517"/>
      <c r="F6" s="123" t="s">
        <v>808</v>
      </c>
      <c r="G6" s="123" t="s">
        <v>853</v>
      </c>
      <c r="H6" s="52" t="s">
        <v>852</v>
      </c>
      <c r="I6" s="327" t="s">
        <v>846</v>
      </c>
      <c r="J6" s="52" t="s">
        <v>847</v>
      </c>
      <c r="K6" s="52" t="s">
        <v>848</v>
      </c>
      <c r="L6" s="123" t="s">
        <v>849</v>
      </c>
      <c r="M6" s="123" t="s">
        <v>850</v>
      </c>
      <c r="N6" s="51" t="s">
        <v>851</v>
      </c>
      <c r="O6" s="118" t="s">
        <v>927</v>
      </c>
      <c r="P6" s="117" t="s">
        <v>928</v>
      </c>
      <c r="Q6" s="117" t="s">
        <v>937</v>
      </c>
      <c r="R6" s="120" t="s">
        <v>711</v>
      </c>
    </row>
    <row r="7" spans="1:43" s="93" customFormat="1" ht="13.5" customHeight="1">
      <c r="A7" s="541" t="s">
        <v>592</v>
      </c>
      <c r="B7" s="507" t="s">
        <v>521</v>
      </c>
      <c r="C7" s="234" t="s">
        <v>687</v>
      </c>
      <c r="D7" s="54">
        <v>29</v>
      </c>
      <c r="E7" s="55">
        <v>37</v>
      </c>
      <c r="F7" s="55">
        <v>0</v>
      </c>
      <c r="G7" s="55">
        <v>4</v>
      </c>
      <c r="H7" s="55">
        <v>8</v>
      </c>
      <c r="I7" s="55">
        <v>10</v>
      </c>
      <c r="J7" s="55">
        <v>3</v>
      </c>
      <c r="K7" s="55">
        <v>1</v>
      </c>
      <c r="L7" s="55">
        <v>3</v>
      </c>
      <c r="M7" s="55">
        <v>0</v>
      </c>
      <c r="N7" s="55">
        <v>0</v>
      </c>
      <c r="O7" s="55">
        <v>2</v>
      </c>
      <c r="P7" s="55">
        <v>26</v>
      </c>
      <c r="Q7" s="55">
        <v>1</v>
      </c>
      <c r="R7" s="55">
        <v>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93" customFormat="1" ht="13.5" customHeight="1">
      <c r="A8" s="542"/>
      <c r="B8" s="516"/>
      <c r="C8" s="124" t="s">
        <v>688</v>
      </c>
      <c r="D8" s="24">
        <v>7</v>
      </c>
      <c r="E8" s="10">
        <v>36</v>
      </c>
      <c r="F8" s="10">
        <v>0</v>
      </c>
      <c r="G8" s="10">
        <v>1</v>
      </c>
      <c r="H8" s="10">
        <v>1</v>
      </c>
      <c r="I8" s="10">
        <v>4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7</v>
      </c>
      <c r="Q8" s="10">
        <v>0</v>
      </c>
      <c r="R8" s="10">
        <v>0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s="93" customFormat="1" ht="13.5" customHeight="1">
      <c r="A9" s="542"/>
      <c r="B9" s="517"/>
      <c r="C9" s="235" t="s">
        <v>689</v>
      </c>
      <c r="D9" s="24">
        <v>22</v>
      </c>
      <c r="E9" s="10">
        <v>37</v>
      </c>
      <c r="F9" s="10">
        <v>0</v>
      </c>
      <c r="G9" s="10">
        <v>3</v>
      </c>
      <c r="H9" s="10">
        <v>7</v>
      </c>
      <c r="I9" s="10">
        <v>6</v>
      </c>
      <c r="J9" s="10">
        <v>3</v>
      </c>
      <c r="K9" s="10">
        <v>1</v>
      </c>
      <c r="L9" s="10">
        <v>2</v>
      </c>
      <c r="M9" s="10">
        <v>0</v>
      </c>
      <c r="N9" s="10">
        <v>0</v>
      </c>
      <c r="O9" s="10">
        <v>2</v>
      </c>
      <c r="P9" s="10">
        <v>19</v>
      </c>
      <c r="Q9" s="10">
        <v>1</v>
      </c>
      <c r="R9" s="10">
        <v>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18" s="93" customFormat="1" ht="13.5" customHeight="1">
      <c r="A10" s="542"/>
      <c r="B10" s="491" t="s">
        <v>522</v>
      </c>
      <c r="C10" s="234" t="s">
        <v>687</v>
      </c>
      <c r="D10" s="54">
        <v>107</v>
      </c>
      <c r="E10" s="55">
        <v>39</v>
      </c>
      <c r="F10" s="55">
        <v>0</v>
      </c>
      <c r="G10" s="55">
        <v>6</v>
      </c>
      <c r="H10" s="55">
        <v>13</v>
      </c>
      <c r="I10" s="55">
        <v>43</v>
      </c>
      <c r="J10" s="55">
        <v>17</v>
      </c>
      <c r="K10" s="55">
        <v>23</v>
      </c>
      <c r="L10" s="55">
        <v>4</v>
      </c>
      <c r="M10" s="55">
        <v>1</v>
      </c>
      <c r="N10" s="55">
        <v>0</v>
      </c>
      <c r="O10" s="55">
        <v>8</v>
      </c>
      <c r="P10" s="55">
        <v>94</v>
      </c>
      <c r="Q10" s="55">
        <v>5</v>
      </c>
      <c r="R10" s="55">
        <v>0</v>
      </c>
    </row>
    <row r="11" spans="1:18" s="93" customFormat="1" ht="13.5" customHeight="1">
      <c r="A11" s="542"/>
      <c r="B11" s="492"/>
      <c r="C11" s="124" t="s">
        <v>688</v>
      </c>
      <c r="D11" s="64">
        <v>33</v>
      </c>
      <c r="E11" s="49">
        <v>42</v>
      </c>
      <c r="F11" s="58">
        <v>0</v>
      </c>
      <c r="G11" s="49">
        <v>0</v>
      </c>
      <c r="H11" s="49">
        <v>2</v>
      </c>
      <c r="I11" s="49">
        <v>11</v>
      </c>
      <c r="J11" s="59">
        <v>8</v>
      </c>
      <c r="K11" s="58">
        <v>8</v>
      </c>
      <c r="L11" s="58">
        <v>4</v>
      </c>
      <c r="M11" s="58">
        <v>0</v>
      </c>
      <c r="N11" s="58">
        <v>0</v>
      </c>
      <c r="O11" s="58">
        <v>4</v>
      </c>
      <c r="P11" s="58">
        <v>27</v>
      </c>
      <c r="Q11" s="58">
        <v>2</v>
      </c>
      <c r="R11" s="58">
        <v>0</v>
      </c>
    </row>
    <row r="12" spans="1:18" s="93" customFormat="1" ht="13.5" customHeight="1">
      <c r="A12" s="542"/>
      <c r="B12" s="493"/>
      <c r="C12" s="235" t="s">
        <v>689</v>
      </c>
      <c r="D12" s="64">
        <v>74</v>
      </c>
      <c r="E12" s="49">
        <v>37</v>
      </c>
      <c r="F12" s="58">
        <v>0</v>
      </c>
      <c r="G12" s="49">
        <v>6</v>
      </c>
      <c r="H12" s="49">
        <v>11</v>
      </c>
      <c r="I12" s="49">
        <v>32</v>
      </c>
      <c r="J12" s="59">
        <v>9</v>
      </c>
      <c r="K12" s="58">
        <v>15</v>
      </c>
      <c r="L12" s="58">
        <v>0</v>
      </c>
      <c r="M12" s="58">
        <v>1</v>
      </c>
      <c r="N12" s="58">
        <v>0</v>
      </c>
      <c r="O12" s="58">
        <v>4</v>
      </c>
      <c r="P12" s="58">
        <v>67</v>
      </c>
      <c r="Q12" s="58">
        <v>3</v>
      </c>
      <c r="R12" s="58">
        <v>0</v>
      </c>
    </row>
    <row r="13" spans="1:18" s="93" customFormat="1" ht="13.5" customHeight="1">
      <c r="A13" s="542"/>
      <c r="B13" s="491" t="s">
        <v>532</v>
      </c>
      <c r="C13" s="234" t="s">
        <v>687</v>
      </c>
      <c r="D13" s="54">
        <v>149</v>
      </c>
      <c r="E13" s="55">
        <v>42</v>
      </c>
      <c r="F13" s="55">
        <v>1</v>
      </c>
      <c r="G13" s="55">
        <v>7</v>
      </c>
      <c r="H13" s="55">
        <v>21</v>
      </c>
      <c r="I13" s="55">
        <v>33</v>
      </c>
      <c r="J13" s="55">
        <v>31</v>
      </c>
      <c r="K13" s="55">
        <v>30</v>
      </c>
      <c r="L13" s="55">
        <v>19</v>
      </c>
      <c r="M13" s="55">
        <v>5</v>
      </c>
      <c r="N13" s="55">
        <v>2</v>
      </c>
      <c r="O13" s="55">
        <v>11</v>
      </c>
      <c r="P13" s="55">
        <v>129</v>
      </c>
      <c r="Q13" s="55">
        <v>8</v>
      </c>
      <c r="R13" s="55">
        <v>1</v>
      </c>
    </row>
    <row r="14" spans="1:18" s="93" customFormat="1" ht="13.5" customHeight="1">
      <c r="A14" s="542"/>
      <c r="B14" s="492"/>
      <c r="C14" s="124" t="s">
        <v>688</v>
      </c>
      <c r="D14" s="64">
        <v>39</v>
      </c>
      <c r="E14" s="49">
        <v>43</v>
      </c>
      <c r="F14" s="58">
        <v>1</v>
      </c>
      <c r="G14" s="49">
        <v>0</v>
      </c>
      <c r="H14" s="49">
        <v>3</v>
      </c>
      <c r="I14" s="49">
        <v>12</v>
      </c>
      <c r="J14" s="59">
        <v>8</v>
      </c>
      <c r="K14" s="58">
        <v>4</v>
      </c>
      <c r="L14" s="58">
        <v>9</v>
      </c>
      <c r="M14" s="58">
        <v>2</v>
      </c>
      <c r="N14" s="58">
        <v>0</v>
      </c>
      <c r="O14" s="58">
        <v>4</v>
      </c>
      <c r="P14" s="58">
        <v>34</v>
      </c>
      <c r="Q14" s="58">
        <v>1</v>
      </c>
      <c r="R14" s="58">
        <v>0</v>
      </c>
    </row>
    <row r="15" spans="1:18" s="93" customFormat="1" ht="13.5" customHeight="1">
      <c r="A15" s="542"/>
      <c r="B15" s="493"/>
      <c r="C15" s="235" t="s">
        <v>689</v>
      </c>
      <c r="D15" s="64">
        <v>110</v>
      </c>
      <c r="E15" s="49">
        <v>41</v>
      </c>
      <c r="F15" s="58">
        <v>0</v>
      </c>
      <c r="G15" s="49">
        <v>7</v>
      </c>
      <c r="H15" s="49">
        <v>18</v>
      </c>
      <c r="I15" s="49">
        <v>21</v>
      </c>
      <c r="J15" s="59">
        <v>23</v>
      </c>
      <c r="K15" s="58">
        <v>26</v>
      </c>
      <c r="L15" s="58">
        <v>10</v>
      </c>
      <c r="M15" s="58">
        <v>3</v>
      </c>
      <c r="N15" s="58">
        <v>2</v>
      </c>
      <c r="O15" s="58">
        <v>7</v>
      </c>
      <c r="P15" s="58">
        <v>95</v>
      </c>
      <c r="Q15" s="58">
        <v>7</v>
      </c>
      <c r="R15" s="58">
        <v>1</v>
      </c>
    </row>
    <row r="16" spans="1:18" s="93" customFormat="1" ht="13.5" customHeight="1">
      <c r="A16" s="542"/>
      <c r="B16" s="491" t="s">
        <v>533</v>
      </c>
      <c r="C16" s="234" t="s">
        <v>687</v>
      </c>
      <c r="D16" s="54">
        <v>90</v>
      </c>
      <c r="E16" s="55">
        <v>40</v>
      </c>
      <c r="F16" s="55">
        <v>0</v>
      </c>
      <c r="G16" s="55">
        <v>4</v>
      </c>
      <c r="H16" s="55">
        <v>18</v>
      </c>
      <c r="I16" s="55">
        <v>26</v>
      </c>
      <c r="J16" s="55">
        <v>12</v>
      </c>
      <c r="K16" s="55">
        <v>14</v>
      </c>
      <c r="L16" s="55">
        <v>13</v>
      </c>
      <c r="M16" s="55">
        <v>3</v>
      </c>
      <c r="N16" s="55">
        <v>0</v>
      </c>
      <c r="O16" s="55">
        <v>9</v>
      </c>
      <c r="P16" s="55">
        <v>78</v>
      </c>
      <c r="Q16" s="55">
        <v>3</v>
      </c>
      <c r="R16" s="55">
        <v>0</v>
      </c>
    </row>
    <row r="17" spans="1:18" s="93" customFormat="1" ht="13.5" customHeight="1">
      <c r="A17" s="542"/>
      <c r="B17" s="492"/>
      <c r="C17" s="124" t="s">
        <v>688</v>
      </c>
      <c r="D17" s="64">
        <v>23</v>
      </c>
      <c r="E17" s="49">
        <v>41</v>
      </c>
      <c r="F17" s="49">
        <v>0</v>
      </c>
      <c r="G17" s="49">
        <v>0</v>
      </c>
      <c r="H17" s="49">
        <v>1</v>
      </c>
      <c r="I17" s="49">
        <v>10</v>
      </c>
      <c r="J17" s="49">
        <v>4</v>
      </c>
      <c r="K17" s="49">
        <v>4</v>
      </c>
      <c r="L17" s="49">
        <v>3</v>
      </c>
      <c r="M17" s="49">
        <v>1</v>
      </c>
      <c r="N17" s="49">
        <v>0</v>
      </c>
      <c r="O17" s="49">
        <v>3</v>
      </c>
      <c r="P17" s="49">
        <v>20</v>
      </c>
      <c r="Q17" s="49">
        <v>0</v>
      </c>
      <c r="R17" s="49">
        <v>0</v>
      </c>
    </row>
    <row r="18" spans="1:18" s="93" customFormat="1" ht="13.5" customHeight="1">
      <c r="A18" s="542"/>
      <c r="B18" s="492"/>
      <c r="C18" s="235" t="s">
        <v>689</v>
      </c>
      <c r="D18" s="64">
        <v>67</v>
      </c>
      <c r="E18" s="49">
        <v>39</v>
      </c>
      <c r="F18" s="49">
        <v>0</v>
      </c>
      <c r="G18" s="49">
        <v>4</v>
      </c>
      <c r="H18" s="49">
        <v>17</v>
      </c>
      <c r="I18" s="49">
        <v>16</v>
      </c>
      <c r="J18" s="49">
        <v>8</v>
      </c>
      <c r="K18" s="49">
        <v>10</v>
      </c>
      <c r="L18" s="49">
        <v>10</v>
      </c>
      <c r="M18" s="49">
        <v>2</v>
      </c>
      <c r="N18" s="49">
        <v>0</v>
      </c>
      <c r="O18" s="49">
        <v>6</v>
      </c>
      <c r="P18" s="49">
        <v>58</v>
      </c>
      <c r="Q18" s="49">
        <v>3</v>
      </c>
      <c r="R18" s="49">
        <v>0</v>
      </c>
    </row>
    <row r="19" spans="1:18" s="93" customFormat="1" ht="13.5" customHeight="1">
      <c r="A19" s="538" t="s">
        <v>593</v>
      </c>
      <c r="B19" s="491" t="s">
        <v>534</v>
      </c>
      <c r="C19" s="234" t="s">
        <v>687</v>
      </c>
      <c r="D19" s="54">
        <v>100</v>
      </c>
      <c r="E19" s="55">
        <v>40</v>
      </c>
      <c r="F19" s="55">
        <v>0</v>
      </c>
      <c r="G19" s="55">
        <v>7</v>
      </c>
      <c r="H19" s="55">
        <v>15</v>
      </c>
      <c r="I19" s="55">
        <v>26</v>
      </c>
      <c r="J19" s="55">
        <v>21</v>
      </c>
      <c r="K19" s="55">
        <v>20</v>
      </c>
      <c r="L19" s="55">
        <v>6</v>
      </c>
      <c r="M19" s="55">
        <v>3</v>
      </c>
      <c r="N19" s="55">
        <v>2</v>
      </c>
      <c r="O19" s="55">
        <v>15</v>
      </c>
      <c r="P19" s="55">
        <v>79</v>
      </c>
      <c r="Q19" s="55">
        <v>6</v>
      </c>
      <c r="R19" s="55">
        <v>0</v>
      </c>
    </row>
    <row r="20" spans="1:18" s="93" customFormat="1" ht="13.5" customHeight="1">
      <c r="A20" s="538"/>
      <c r="B20" s="492"/>
      <c r="C20" s="124" t="s">
        <v>688</v>
      </c>
      <c r="D20" s="64">
        <v>16</v>
      </c>
      <c r="E20" s="49">
        <v>41</v>
      </c>
      <c r="F20" s="58">
        <v>0</v>
      </c>
      <c r="G20" s="49">
        <v>0</v>
      </c>
      <c r="H20" s="49">
        <v>1</v>
      </c>
      <c r="I20" s="49">
        <v>6</v>
      </c>
      <c r="J20" s="59">
        <v>6</v>
      </c>
      <c r="K20" s="58">
        <v>2</v>
      </c>
      <c r="L20" s="58">
        <v>1</v>
      </c>
      <c r="M20" s="58">
        <v>0</v>
      </c>
      <c r="N20" s="58">
        <v>0</v>
      </c>
      <c r="O20" s="58">
        <v>5</v>
      </c>
      <c r="P20" s="58">
        <v>11</v>
      </c>
      <c r="Q20" s="58">
        <v>0</v>
      </c>
      <c r="R20" s="58">
        <v>0</v>
      </c>
    </row>
    <row r="21" spans="1:18" s="93" customFormat="1" ht="13.5" customHeight="1">
      <c r="A21" s="538"/>
      <c r="B21" s="492"/>
      <c r="C21" s="235" t="s">
        <v>689</v>
      </c>
      <c r="D21" s="64">
        <v>84</v>
      </c>
      <c r="E21" s="49">
        <v>40</v>
      </c>
      <c r="F21" s="58">
        <v>0</v>
      </c>
      <c r="G21" s="49">
        <v>7</v>
      </c>
      <c r="H21" s="49">
        <v>14</v>
      </c>
      <c r="I21" s="49">
        <v>20</v>
      </c>
      <c r="J21" s="59">
        <v>15</v>
      </c>
      <c r="K21" s="58">
        <v>18</v>
      </c>
      <c r="L21" s="58">
        <v>5</v>
      </c>
      <c r="M21" s="58">
        <v>3</v>
      </c>
      <c r="N21" s="58">
        <v>2</v>
      </c>
      <c r="O21" s="58">
        <v>10</v>
      </c>
      <c r="P21" s="58">
        <v>68</v>
      </c>
      <c r="Q21" s="58">
        <v>6</v>
      </c>
      <c r="R21" s="58">
        <v>0</v>
      </c>
    </row>
    <row r="22" spans="1:18" s="93" customFormat="1" ht="13.5" customHeight="1">
      <c r="A22" s="538"/>
      <c r="B22" s="491" t="s">
        <v>535</v>
      </c>
      <c r="C22" s="234" t="s">
        <v>687</v>
      </c>
      <c r="D22" s="54">
        <v>79</v>
      </c>
      <c r="E22" s="55">
        <v>41</v>
      </c>
      <c r="F22" s="55">
        <v>0</v>
      </c>
      <c r="G22" s="55">
        <v>7</v>
      </c>
      <c r="H22" s="55">
        <v>4</v>
      </c>
      <c r="I22" s="55">
        <v>20</v>
      </c>
      <c r="J22" s="55">
        <v>17</v>
      </c>
      <c r="K22" s="55">
        <v>17</v>
      </c>
      <c r="L22" s="55">
        <v>12</v>
      </c>
      <c r="M22" s="55">
        <v>1</v>
      </c>
      <c r="N22" s="55">
        <v>1</v>
      </c>
      <c r="O22" s="55">
        <v>7</v>
      </c>
      <c r="P22" s="55">
        <v>69</v>
      </c>
      <c r="Q22" s="55">
        <v>3</v>
      </c>
      <c r="R22" s="55">
        <v>0</v>
      </c>
    </row>
    <row r="23" spans="1:18" s="93" customFormat="1" ht="13.5" customHeight="1">
      <c r="A23" s="538"/>
      <c r="B23" s="492"/>
      <c r="C23" s="124" t="s">
        <v>688</v>
      </c>
      <c r="D23" s="64">
        <v>13</v>
      </c>
      <c r="E23" s="49">
        <v>43</v>
      </c>
      <c r="F23" s="58">
        <v>0</v>
      </c>
      <c r="G23" s="49">
        <v>0</v>
      </c>
      <c r="H23" s="49">
        <v>0</v>
      </c>
      <c r="I23" s="49">
        <v>2</v>
      </c>
      <c r="J23" s="59">
        <v>6</v>
      </c>
      <c r="K23" s="58">
        <v>3</v>
      </c>
      <c r="L23" s="58">
        <v>2</v>
      </c>
      <c r="M23" s="58">
        <v>0</v>
      </c>
      <c r="N23" s="58">
        <v>0</v>
      </c>
      <c r="O23" s="58">
        <v>2</v>
      </c>
      <c r="P23" s="58">
        <v>11</v>
      </c>
      <c r="Q23" s="58">
        <v>0</v>
      </c>
      <c r="R23" s="58">
        <v>0</v>
      </c>
    </row>
    <row r="24" spans="1:18" s="93" customFormat="1" ht="13.5" customHeight="1">
      <c r="A24" s="538"/>
      <c r="B24" s="493"/>
      <c r="C24" s="235" t="s">
        <v>689</v>
      </c>
      <c r="D24" s="64">
        <v>66</v>
      </c>
      <c r="E24" s="49">
        <v>41</v>
      </c>
      <c r="F24" s="58">
        <v>0</v>
      </c>
      <c r="G24" s="49">
        <v>7</v>
      </c>
      <c r="H24" s="49">
        <v>4</v>
      </c>
      <c r="I24" s="49">
        <v>18</v>
      </c>
      <c r="J24" s="59">
        <v>11</v>
      </c>
      <c r="K24" s="58">
        <v>14</v>
      </c>
      <c r="L24" s="58">
        <v>10</v>
      </c>
      <c r="M24" s="58">
        <v>1</v>
      </c>
      <c r="N24" s="58">
        <v>1</v>
      </c>
      <c r="O24" s="58">
        <v>5</v>
      </c>
      <c r="P24" s="58">
        <v>58</v>
      </c>
      <c r="Q24" s="58">
        <v>3</v>
      </c>
      <c r="R24" s="58">
        <v>0</v>
      </c>
    </row>
    <row r="25" spans="1:18" s="93" customFormat="1" ht="13.5" customHeight="1">
      <c r="A25" s="538"/>
      <c r="B25" s="494" t="s">
        <v>536</v>
      </c>
      <c r="C25" s="234" t="s">
        <v>687</v>
      </c>
      <c r="D25" s="54">
        <v>66</v>
      </c>
      <c r="E25" s="55">
        <v>41</v>
      </c>
      <c r="F25" s="55">
        <v>0</v>
      </c>
      <c r="G25" s="55">
        <v>5</v>
      </c>
      <c r="H25" s="55">
        <v>10</v>
      </c>
      <c r="I25" s="55">
        <v>12</v>
      </c>
      <c r="J25" s="55">
        <v>17</v>
      </c>
      <c r="K25" s="55">
        <v>13</v>
      </c>
      <c r="L25" s="55">
        <v>7</v>
      </c>
      <c r="M25" s="55">
        <v>1</v>
      </c>
      <c r="N25" s="55">
        <v>1</v>
      </c>
      <c r="O25" s="55">
        <v>11</v>
      </c>
      <c r="P25" s="55">
        <v>52</v>
      </c>
      <c r="Q25" s="55">
        <v>3</v>
      </c>
      <c r="R25" s="55">
        <v>0</v>
      </c>
    </row>
    <row r="26" spans="1:18" s="93" customFormat="1" ht="13.5" customHeight="1">
      <c r="A26" s="538"/>
      <c r="B26" s="494"/>
      <c r="C26" s="124" t="s">
        <v>688</v>
      </c>
      <c r="D26" s="64">
        <v>22</v>
      </c>
      <c r="E26" s="49">
        <v>44</v>
      </c>
      <c r="F26" s="58">
        <v>0</v>
      </c>
      <c r="G26" s="49">
        <v>1</v>
      </c>
      <c r="H26" s="49">
        <v>2</v>
      </c>
      <c r="I26" s="49">
        <v>0</v>
      </c>
      <c r="J26" s="59">
        <v>8</v>
      </c>
      <c r="K26" s="58">
        <v>7</v>
      </c>
      <c r="L26" s="58">
        <v>3</v>
      </c>
      <c r="M26" s="58">
        <v>0</v>
      </c>
      <c r="N26" s="58">
        <v>1</v>
      </c>
      <c r="O26" s="58">
        <v>4</v>
      </c>
      <c r="P26" s="58">
        <v>18</v>
      </c>
      <c r="Q26" s="58">
        <v>0</v>
      </c>
      <c r="R26" s="58">
        <v>0</v>
      </c>
    </row>
    <row r="27" spans="1:18" s="93" customFormat="1" ht="13.5" customHeight="1">
      <c r="A27" s="538"/>
      <c r="B27" s="494"/>
      <c r="C27" s="235" t="s">
        <v>689</v>
      </c>
      <c r="D27" s="64">
        <v>44</v>
      </c>
      <c r="E27" s="49">
        <v>39</v>
      </c>
      <c r="F27" s="58">
        <v>0</v>
      </c>
      <c r="G27" s="49">
        <v>4</v>
      </c>
      <c r="H27" s="49">
        <v>8</v>
      </c>
      <c r="I27" s="49">
        <v>12</v>
      </c>
      <c r="J27" s="59">
        <v>9</v>
      </c>
      <c r="K27" s="58">
        <v>6</v>
      </c>
      <c r="L27" s="58">
        <v>4</v>
      </c>
      <c r="M27" s="58">
        <v>1</v>
      </c>
      <c r="N27" s="58">
        <v>0</v>
      </c>
      <c r="O27" s="58">
        <v>7</v>
      </c>
      <c r="P27" s="58">
        <v>34</v>
      </c>
      <c r="Q27" s="58">
        <v>3</v>
      </c>
      <c r="R27" s="58">
        <v>0</v>
      </c>
    </row>
    <row r="28" spans="1:18" s="93" customFormat="1" ht="13.5" customHeight="1">
      <c r="A28" s="538"/>
      <c r="B28" s="507" t="s">
        <v>537</v>
      </c>
      <c r="C28" s="234" t="s">
        <v>687</v>
      </c>
      <c r="D28" s="54">
        <v>132</v>
      </c>
      <c r="E28" s="55">
        <v>41</v>
      </c>
      <c r="F28" s="55">
        <v>1</v>
      </c>
      <c r="G28" s="55">
        <v>8</v>
      </c>
      <c r="H28" s="55">
        <v>25</v>
      </c>
      <c r="I28" s="55">
        <v>24</v>
      </c>
      <c r="J28" s="55">
        <v>38</v>
      </c>
      <c r="K28" s="55">
        <v>23</v>
      </c>
      <c r="L28" s="55">
        <v>10</v>
      </c>
      <c r="M28" s="55">
        <v>2</v>
      </c>
      <c r="N28" s="55">
        <v>1</v>
      </c>
      <c r="O28" s="55">
        <v>18</v>
      </c>
      <c r="P28" s="55">
        <v>113</v>
      </c>
      <c r="Q28" s="55">
        <v>1</v>
      </c>
      <c r="R28" s="55">
        <v>0</v>
      </c>
    </row>
    <row r="29" spans="1:19" s="93" customFormat="1" ht="13.5" customHeight="1">
      <c r="A29" s="538"/>
      <c r="B29" s="516"/>
      <c r="C29" s="124" t="s">
        <v>688</v>
      </c>
      <c r="D29" s="64">
        <v>31</v>
      </c>
      <c r="E29" s="49">
        <v>41</v>
      </c>
      <c r="F29" s="58">
        <v>0</v>
      </c>
      <c r="G29" s="49">
        <v>1</v>
      </c>
      <c r="H29" s="49">
        <v>6</v>
      </c>
      <c r="I29" s="49">
        <v>4</v>
      </c>
      <c r="J29" s="59">
        <v>10</v>
      </c>
      <c r="K29" s="58">
        <v>6</v>
      </c>
      <c r="L29" s="58">
        <v>3</v>
      </c>
      <c r="M29" s="58">
        <v>1</v>
      </c>
      <c r="N29" s="58">
        <v>0</v>
      </c>
      <c r="O29" s="58">
        <v>8</v>
      </c>
      <c r="P29" s="58">
        <v>23</v>
      </c>
      <c r="Q29" s="58">
        <v>0</v>
      </c>
      <c r="R29" s="58">
        <v>0</v>
      </c>
      <c r="S29" s="94"/>
    </row>
    <row r="30" spans="1:19" s="93" customFormat="1" ht="13.5" customHeight="1">
      <c r="A30" s="538"/>
      <c r="B30" s="516"/>
      <c r="C30" s="235" t="s">
        <v>689</v>
      </c>
      <c r="D30" s="64">
        <v>101</v>
      </c>
      <c r="E30" s="49">
        <v>40</v>
      </c>
      <c r="F30" s="58">
        <v>1</v>
      </c>
      <c r="G30" s="49">
        <v>7</v>
      </c>
      <c r="H30" s="49">
        <v>19</v>
      </c>
      <c r="I30" s="49">
        <v>20</v>
      </c>
      <c r="J30" s="59">
        <v>28</v>
      </c>
      <c r="K30" s="58">
        <v>17</v>
      </c>
      <c r="L30" s="58">
        <v>7</v>
      </c>
      <c r="M30" s="58">
        <v>1</v>
      </c>
      <c r="N30" s="58">
        <v>1</v>
      </c>
      <c r="O30" s="58">
        <v>10</v>
      </c>
      <c r="P30" s="58">
        <v>90</v>
      </c>
      <c r="Q30" s="58">
        <v>1</v>
      </c>
      <c r="R30" s="58">
        <v>0</v>
      </c>
      <c r="S30" s="94"/>
    </row>
    <row r="31" spans="1:18" s="93" customFormat="1" ht="13.5" customHeight="1">
      <c r="A31" s="541" t="s">
        <v>595</v>
      </c>
      <c r="B31" s="536" t="s">
        <v>580</v>
      </c>
      <c r="C31" s="234" t="s">
        <v>687</v>
      </c>
      <c r="D31" s="140">
        <v>219</v>
      </c>
      <c r="E31" s="56">
        <v>42</v>
      </c>
      <c r="F31" s="56">
        <v>0</v>
      </c>
      <c r="G31" s="56">
        <v>12</v>
      </c>
      <c r="H31" s="56">
        <v>27</v>
      </c>
      <c r="I31" s="56">
        <v>41</v>
      </c>
      <c r="J31" s="56">
        <v>41</v>
      </c>
      <c r="K31" s="56">
        <v>46</v>
      </c>
      <c r="L31" s="56">
        <v>35</v>
      </c>
      <c r="M31" s="56">
        <v>16</v>
      </c>
      <c r="N31" s="56">
        <v>1</v>
      </c>
      <c r="O31" s="56">
        <v>28</v>
      </c>
      <c r="P31" s="56">
        <v>175</v>
      </c>
      <c r="Q31" s="56">
        <v>16</v>
      </c>
      <c r="R31" s="56">
        <v>0</v>
      </c>
    </row>
    <row r="32" spans="1:19" s="93" customFormat="1" ht="13.5" customHeight="1">
      <c r="A32" s="542"/>
      <c r="B32" s="492"/>
      <c r="C32" s="124" t="s">
        <v>688</v>
      </c>
      <c r="D32" s="64">
        <v>55</v>
      </c>
      <c r="E32" s="49">
        <v>44</v>
      </c>
      <c r="F32" s="49">
        <v>0</v>
      </c>
      <c r="G32" s="49">
        <v>2</v>
      </c>
      <c r="H32" s="49">
        <v>8</v>
      </c>
      <c r="I32" s="49">
        <v>6</v>
      </c>
      <c r="J32" s="49">
        <v>13</v>
      </c>
      <c r="K32" s="49">
        <v>10</v>
      </c>
      <c r="L32" s="49">
        <v>11</v>
      </c>
      <c r="M32" s="49">
        <v>5</v>
      </c>
      <c r="N32" s="49">
        <v>0</v>
      </c>
      <c r="O32" s="49">
        <v>9</v>
      </c>
      <c r="P32" s="49">
        <v>40</v>
      </c>
      <c r="Q32" s="49">
        <v>6</v>
      </c>
      <c r="R32" s="49">
        <v>0</v>
      </c>
      <c r="S32" s="94"/>
    </row>
    <row r="33" spans="1:19" s="93" customFormat="1" ht="13.5" customHeight="1">
      <c r="A33" s="542"/>
      <c r="B33" s="493"/>
      <c r="C33" s="235" t="s">
        <v>689</v>
      </c>
      <c r="D33" s="64">
        <v>164</v>
      </c>
      <c r="E33" s="49">
        <v>42</v>
      </c>
      <c r="F33" s="49">
        <v>0</v>
      </c>
      <c r="G33" s="49">
        <v>10</v>
      </c>
      <c r="H33" s="49">
        <v>19</v>
      </c>
      <c r="I33" s="49">
        <v>35</v>
      </c>
      <c r="J33" s="49">
        <v>28</v>
      </c>
      <c r="K33" s="49">
        <v>36</v>
      </c>
      <c r="L33" s="49">
        <v>24</v>
      </c>
      <c r="M33" s="49">
        <v>11</v>
      </c>
      <c r="N33" s="49">
        <v>1</v>
      </c>
      <c r="O33" s="49">
        <v>19</v>
      </c>
      <c r="P33" s="49">
        <v>135</v>
      </c>
      <c r="Q33" s="49">
        <v>10</v>
      </c>
      <c r="R33" s="49">
        <v>0</v>
      </c>
      <c r="S33" s="94"/>
    </row>
    <row r="34" spans="1:18" ht="13.5" customHeight="1">
      <c r="A34" s="542"/>
      <c r="B34" s="491" t="s">
        <v>522</v>
      </c>
      <c r="C34" s="234" t="s">
        <v>687</v>
      </c>
      <c r="D34" s="54">
        <v>22</v>
      </c>
      <c r="E34" s="55">
        <v>42</v>
      </c>
      <c r="F34" s="55">
        <v>0</v>
      </c>
      <c r="G34" s="55">
        <v>0</v>
      </c>
      <c r="H34" s="55">
        <v>3</v>
      </c>
      <c r="I34" s="55">
        <v>3</v>
      </c>
      <c r="J34" s="55">
        <v>4</v>
      </c>
      <c r="K34" s="55">
        <v>7</v>
      </c>
      <c r="L34" s="55">
        <v>3</v>
      </c>
      <c r="M34" s="55">
        <v>2</v>
      </c>
      <c r="N34" s="55">
        <v>0</v>
      </c>
      <c r="O34" s="55">
        <v>4</v>
      </c>
      <c r="P34" s="55">
        <v>17</v>
      </c>
      <c r="Q34" s="55">
        <v>1</v>
      </c>
      <c r="R34" s="55">
        <v>0</v>
      </c>
    </row>
    <row r="35" spans="1:18" ht="13.5" customHeight="1">
      <c r="A35" s="542"/>
      <c r="B35" s="492"/>
      <c r="C35" s="124" t="s">
        <v>688</v>
      </c>
      <c r="D35" s="64">
        <v>4</v>
      </c>
      <c r="E35" s="49">
        <v>37</v>
      </c>
      <c r="F35" s="59">
        <v>0</v>
      </c>
      <c r="G35" s="58">
        <v>0</v>
      </c>
      <c r="H35" s="58">
        <v>2</v>
      </c>
      <c r="I35" s="58">
        <v>0</v>
      </c>
      <c r="J35" s="58">
        <v>0</v>
      </c>
      <c r="K35" s="58">
        <v>2</v>
      </c>
      <c r="L35" s="58">
        <v>0</v>
      </c>
      <c r="M35" s="58">
        <v>0</v>
      </c>
      <c r="N35" s="58">
        <v>0</v>
      </c>
      <c r="O35" s="58">
        <v>0</v>
      </c>
      <c r="P35" s="59">
        <v>3</v>
      </c>
      <c r="Q35" s="59">
        <v>1</v>
      </c>
      <c r="R35" s="59">
        <v>0</v>
      </c>
    </row>
    <row r="36" spans="1:18" ht="13.5" customHeight="1">
      <c r="A36" s="542"/>
      <c r="B36" s="493"/>
      <c r="C36" s="235" t="s">
        <v>689</v>
      </c>
      <c r="D36" s="64">
        <v>18</v>
      </c>
      <c r="E36" s="49">
        <v>43</v>
      </c>
      <c r="F36" s="59">
        <v>0</v>
      </c>
      <c r="G36" s="58">
        <v>0</v>
      </c>
      <c r="H36" s="58">
        <v>1</v>
      </c>
      <c r="I36" s="58">
        <v>3</v>
      </c>
      <c r="J36" s="58">
        <v>4</v>
      </c>
      <c r="K36" s="58">
        <v>5</v>
      </c>
      <c r="L36" s="58">
        <v>3</v>
      </c>
      <c r="M36" s="58">
        <v>2</v>
      </c>
      <c r="N36" s="58">
        <v>0</v>
      </c>
      <c r="O36" s="58">
        <v>4</v>
      </c>
      <c r="P36" s="59">
        <v>14</v>
      </c>
      <c r="Q36" s="59">
        <v>0</v>
      </c>
      <c r="R36" s="59">
        <v>0</v>
      </c>
    </row>
    <row r="37" spans="1:18" ht="13.5" customHeight="1">
      <c r="A37" s="542"/>
      <c r="B37" s="492" t="s">
        <v>532</v>
      </c>
      <c r="C37" s="234" t="s">
        <v>687</v>
      </c>
      <c r="D37" s="54">
        <v>23</v>
      </c>
      <c r="E37" s="55">
        <v>40</v>
      </c>
      <c r="F37" s="55">
        <v>0</v>
      </c>
      <c r="G37" s="55">
        <v>1</v>
      </c>
      <c r="H37" s="55">
        <v>4</v>
      </c>
      <c r="I37" s="55">
        <v>6</v>
      </c>
      <c r="J37" s="55">
        <v>4</v>
      </c>
      <c r="K37" s="55">
        <v>4</v>
      </c>
      <c r="L37" s="55">
        <v>4</v>
      </c>
      <c r="M37" s="55">
        <v>0</v>
      </c>
      <c r="N37" s="55">
        <v>0</v>
      </c>
      <c r="O37" s="55">
        <v>2</v>
      </c>
      <c r="P37" s="55">
        <v>16</v>
      </c>
      <c r="Q37" s="55">
        <v>5</v>
      </c>
      <c r="R37" s="55">
        <v>0</v>
      </c>
    </row>
    <row r="38" spans="1:18" ht="13.5" customHeight="1">
      <c r="A38" s="542"/>
      <c r="B38" s="492"/>
      <c r="C38" s="124" t="s">
        <v>688</v>
      </c>
      <c r="D38" s="24">
        <v>4</v>
      </c>
      <c r="E38" s="10">
        <v>39</v>
      </c>
      <c r="F38" s="10">
        <v>0</v>
      </c>
      <c r="G38" s="10">
        <v>0</v>
      </c>
      <c r="H38" s="10">
        <v>1</v>
      </c>
      <c r="I38" s="10">
        <v>2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2</v>
      </c>
      <c r="Q38" s="10">
        <v>2</v>
      </c>
      <c r="R38" s="10">
        <v>0</v>
      </c>
    </row>
    <row r="39" spans="1:18" ht="13.5" customHeight="1">
      <c r="A39" s="542"/>
      <c r="B39" s="492"/>
      <c r="C39" s="235" t="s">
        <v>689</v>
      </c>
      <c r="D39" s="24">
        <v>19</v>
      </c>
      <c r="E39" s="10">
        <v>40</v>
      </c>
      <c r="F39" s="10">
        <v>0</v>
      </c>
      <c r="G39" s="10">
        <v>1</v>
      </c>
      <c r="H39" s="10">
        <v>3</v>
      </c>
      <c r="I39" s="10">
        <v>4</v>
      </c>
      <c r="J39" s="10">
        <v>4</v>
      </c>
      <c r="K39" s="10">
        <v>4</v>
      </c>
      <c r="L39" s="10">
        <v>3</v>
      </c>
      <c r="M39" s="10">
        <v>0</v>
      </c>
      <c r="N39" s="10">
        <v>0</v>
      </c>
      <c r="O39" s="10">
        <v>2</v>
      </c>
      <c r="P39" s="10">
        <v>14</v>
      </c>
      <c r="Q39" s="10">
        <v>3</v>
      </c>
      <c r="R39" s="10">
        <v>0</v>
      </c>
    </row>
    <row r="40" spans="1:18" ht="13.5" customHeight="1">
      <c r="A40" s="538" t="s">
        <v>596</v>
      </c>
      <c r="B40" s="491" t="s">
        <v>533</v>
      </c>
      <c r="C40" s="234" t="s">
        <v>687</v>
      </c>
      <c r="D40" s="54">
        <v>45</v>
      </c>
      <c r="E40" s="55">
        <v>43</v>
      </c>
      <c r="F40" s="55">
        <v>0</v>
      </c>
      <c r="G40" s="55">
        <v>1</v>
      </c>
      <c r="H40" s="55">
        <v>2</v>
      </c>
      <c r="I40" s="55">
        <v>10</v>
      </c>
      <c r="J40" s="55">
        <v>9</v>
      </c>
      <c r="K40" s="55">
        <v>16</v>
      </c>
      <c r="L40" s="55">
        <v>6</v>
      </c>
      <c r="M40" s="55">
        <v>1</v>
      </c>
      <c r="N40" s="55">
        <v>0</v>
      </c>
      <c r="O40" s="55">
        <v>7</v>
      </c>
      <c r="P40" s="55">
        <v>37</v>
      </c>
      <c r="Q40" s="55">
        <v>1</v>
      </c>
      <c r="R40" s="55">
        <v>0</v>
      </c>
    </row>
    <row r="41" spans="1:18" ht="13.5" customHeight="1">
      <c r="A41" s="538"/>
      <c r="B41" s="492"/>
      <c r="C41" s="124" t="s">
        <v>688</v>
      </c>
      <c r="D41" s="24">
        <v>10</v>
      </c>
      <c r="E41" s="10">
        <v>45</v>
      </c>
      <c r="F41" s="10">
        <v>0</v>
      </c>
      <c r="G41" s="10">
        <v>0</v>
      </c>
      <c r="H41" s="10">
        <v>0</v>
      </c>
      <c r="I41" s="10">
        <v>1</v>
      </c>
      <c r="J41" s="10">
        <v>4</v>
      </c>
      <c r="K41" s="10">
        <v>3</v>
      </c>
      <c r="L41" s="10">
        <v>2</v>
      </c>
      <c r="M41" s="10">
        <v>0</v>
      </c>
      <c r="N41" s="10">
        <v>0</v>
      </c>
      <c r="O41" s="10">
        <v>3</v>
      </c>
      <c r="P41" s="10">
        <v>7</v>
      </c>
      <c r="Q41" s="10">
        <v>0</v>
      </c>
      <c r="R41" s="10">
        <v>0</v>
      </c>
    </row>
    <row r="42" spans="1:18" ht="13.5" customHeight="1">
      <c r="A42" s="538"/>
      <c r="B42" s="493"/>
      <c r="C42" s="235" t="s">
        <v>689</v>
      </c>
      <c r="D42" s="24">
        <v>35</v>
      </c>
      <c r="E42" s="10">
        <v>42</v>
      </c>
      <c r="F42" s="10">
        <v>0</v>
      </c>
      <c r="G42" s="10">
        <v>1</v>
      </c>
      <c r="H42" s="10">
        <v>2</v>
      </c>
      <c r="I42" s="10">
        <v>9</v>
      </c>
      <c r="J42" s="10">
        <v>5</v>
      </c>
      <c r="K42" s="10">
        <v>13</v>
      </c>
      <c r="L42" s="10">
        <v>4</v>
      </c>
      <c r="M42" s="10">
        <v>1</v>
      </c>
      <c r="N42" s="10">
        <v>0</v>
      </c>
      <c r="O42" s="10">
        <v>4</v>
      </c>
      <c r="P42" s="10">
        <v>30</v>
      </c>
      <c r="Q42" s="10">
        <v>1</v>
      </c>
      <c r="R42" s="10">
        <v>0</v>
      </c>
    </row>
    <row r="43" spans="1:18" s="93" customFormat="1" ht="13.5" customHeight="1">
      <c r="A43" s="538"/>
      <c r="B43" s="491" t="s">
        <v>534</v>
      </c>
      <c r="C43" s="234" t="s">
        <v>687</v>
      </c>
      <c r="D43" s="54">
        <v>21</v>
      </c>
      <c r="E43" s="55">
        <v>39</v>
      </c>
      <c r="F43" s="55">
        <v>0</v>
      </c>
      <c r="G43" s="55">
        <v>3</v>
      </c>
      <c r="H43" s="55">
        <v>3</v>
      </c>
      <c r="I43" s="55">
        <v>6</v>
      </c>
      <c r="J43" s="55">
        <v>3</v>
      </c>
      <c r="K43" s="55">
        <v>3</v>
      </c>
      <c r="L43" s="55">
        <v>2</v>
      </c>
      <c r="M43" s="55">
        <v>1</v>
      </c>
      <c r="N43" s="55">
        <v>0</v>
      </c>
      <c r="O43" s="55">
        <v>3</v>
      </c>
      <c r="P43" s="55">
        <v>17</v>
      </c>
      <c r="Q43" s="55">
        <v>1</v>
      </c>
      <c r="R43" s="55">
        <v>0</v>
      </c>
    </row>
    <row r="44" spans="1:18" s="93" customFormat="1" ht="13.5" customHeight="1">
      <c r="A44" s="556"/>
      <c r="B44" s="492"/>
      <c r="C44" s="124" t="s">
        <v>688</v>
      </c>
      <c r="D44" s="24">
        <v>4</v>
      </c>
      <c r="E44" s="10">
        <v>41</v>
      </c>
      <c r="F44" s="10">
        <v>0</v>
      </c>
      <c r="G44" s="10">
        <v>1</v>
      </c>
      <c r="H44" s="10">
        <v>0</v>
      </c>
      <c r="I44" s="10">
        <v>1</v>
      </c>
      <c r="J44" s="10">
        <v>1</v>
      </c>
      <c r="K44" s="10">
        <v>0</v>
      </c>
      <c r="L44" s="10">
        <v>0</v>
      </c>
      <c r="M44" s="10">
        <v>1</v>
      </c>
      <c r="N44" s="10">
        <v>0</v>
      </c>
      <c r="O44" s="10">
        <v>1</v>
      </c>
      <c r="P44" s="10">
        <v>3</v>
      </c>
      <c r="Q44" s="10">
        <v>0</v>
      </c>
      <c r="R44" s="10">
        <v>0</v>
      </c>
    </row>
    <row r="45" spans="1:18" s="93" customFormat="1" ht="13.5" customHeight="1">
      <c r="A45" s="538"/>
      <c r="B45" s="493"/>
      <c r="C45" s="235" t="s">
        <v>689</v>
      </c>
      <c r="D45" s="24">
        <v>17</v>
      </c>
      <c r="E45" s="10">
        <v>39</v>
      </c>
      <c r="F45" s="10">
        <v>0</v>
      </c>
      <c r="G45" s="10">
        <v>2</v>
      </c>
      <c r="H45" s="10">
        <v>3</v>
      </c>
      <c r="I45" s="10">
        <v>5</v>
      </c>
      <c r="J45" s="10">
        <v>2</v>
      </c>
      <c r="K45" s="10">
        <v>3</v>
      </c>
      <c r="L45" s="10">
        <v>2</v>
      </c>
      <c r="M45" s="10">
        <v>0</v>
      </c>
      <c r="N45" s="10">
        <v>0</v>
      </c>
      <c r="O45" s="10">
        <v>2</v>
      </c>
      <c r="P45" s="10">
        <v>14</v>
      </c>
      <c r="Q45" s="10">
        <v>1</v>
      </c>
      <c r="R45" s="10">
        <v>0</v>
      </c>
    </row>
    <row r="46" spans="1:18" s="93" customFormat="1" ht="13.5" customHeight="1">
      <c r="A46" s="538"/>
      <c r="B46" s="507" t="s">
        <v>535</v>
      </c>
      <c r="C46" s="234" t="s">
        <v>687</v>
      </c>
      <c r="D46" s="54">
        <v>43</v>
      </c>
      <c r="E46" s="55">
        <v>43</v>
      </c>
      <c r="F46" s="55">
        <v>0</v>
      </c>
      <c r="G46" s="55">
        <v>0</v>
      </c>
      <c r="H46" s="55">
        <v>7</v>
      </c>
      <c r="I46" s="55">
        <v>7</v>
      </c>
      <c r="J46" s="55">
        <v>11</v>
      </c>
      <c r="K46" s="55">
        <v>6</v>
      </c>
      <c r="L46" s="55">
        <v>7</v>
      </c>
      <c r="M46" s="55">
        <v>5</v>
      </c>
      <c r="N46" s="55">
        <v>0</v>
      </c>
      <c r="O46" s="55">
        <v>4</v>
      </c>
      <c r="P46" s="55">
        <v>38</v>
      </c>
      <c r="Q46" s="55">
        <v>1</v>
      </c>
      <c r="R46" s="55">
        <v>0</v>
      </c>
    </row>
    <row r="47" spans="1:18" s="93" customFormat="1" ht="13.5" customHeight="1">
      <c r="A47" s="538"/>
      <c r="B47" s="516"/>
      <c r="C47" s="124" t="s">
        <v>688</v>
      </c>
      <c r="D47" s="24">
        <v>8</v>
      </c>
      <c r="E47" s="10">
        <v>48</v>
      </c>
      <c r="F47" s="10">
        <v>0</v>
      </c>
      <c r="G47" s="10">
        <v>0</v>
      </c>
      <c r="H47" s="10">
        <v>0</v>
      </c>
      <c r="I47" s="10">
        <v>1</v>
      </c>
      <c r="J47" s="10">
        <v>2</v>
      </c>
      <c r="K47" s="10">
        <v>0</v>
      </c>
      <c r="L47" s="10">
        <v>4</v>
      </c>
      <c r="M47" s="10">
        <v>1</v>
      </c>
      <c r="N47" s="10">
        <v>0</v>
      </c>
      <c r="O47" s="10">
        <v>0</v>
      </c>
      <c r="P47" s="10">
        <v>7</v>
      </c>
      <c r="Q47" s="10">
        <v>1</v>
      </c>
      <c r="R47" s="10">
        <v>0</v>
      </c>
    </row>
    <row r="48" spans="1:18" s="93" customFormat="1" ht="13.5" customHeight="1">
      <c r="A48" s="538"/>
      <c r="B48" s="517"/>
      <c r="C48" s="124" t="s">
        <v>689</v>
      </c>
      <c r="D48" s="24">
        <v>35</v>
      </c>
      <c r="E48" s="10">
        <v>42</v>
      </c>
      <c r="F48" s="10">
        <v>0</v>
      </c>
      <c r="G48" s="10">
        <v>0</v>
      </c>
      <c r="H48" s="10">
        <v>7</v>
      </c>
      <c r="I48" s="10">
        <v>6</v>
      </c>
      <c r="J48" s="10">
        <v>9</v>
      </c>
      <c r="K48" s="10">
        <v>6</v>
      </c>
      <c r="L48" s="10">
        <v>3</v>
      </c>
      <c r="M48" s="10">
        <v>4</v>
      </c>
      <c r="N48" s="10">
        <v>0</v>
      </c>
      <c r="O48" s="10">
        <v>4</v>
      </c>
      <c r="P48" s="10">
        <v>31</v>
      </c>
      <c r="Q48" s="10">
        <v>0</v>
      </c>
      <c r="R48" s="10">
        <v>0</v>
      </c>
    </row>
    <row r="50" ht="16.5" customHeight="1"/>
    <row r="54" spans="1:18" ht="15.75">
      <c r="A54" s="573" t="str">
        <f>"- "&amp;Sheet1!D35&amp;" -"</f>
        <v>- 232 -</v>
      </c>
      <c r="B54" s="573"/>
      <c r="C54" s="573"/>
      <c r="D54" s="573"/>
      <c r="E54" s="573"/>
      <c r="F54" s="573"/>
      <c r="G54" s="573"/>
      <c r="H54" s="573"/>
      <c r="I54" s="573"/>
      <c r="J54" s="573" t="str">
        <f>"- "&amp;Sheet1!E35&amp;" -"</f>
        <v>- 233 -</v>
      </c>
      <c r="K54" s="573"/>
      <c r="L54" s="573"/>
      <c r="M54" s="573"/>
      <c r="N54" s="573"/>
      <c r="O54" s="573"/>
      <c r="P54" s="573"/>
      <c r="Q54" s="573"/>
      <c r="R54" s="573"/>
    </row>
  </sheetData>
  <sheetProtection/>
  <mergeCells count="30">
    <mergeCell ref="A19:A30"/>
    <mergeCell ref="A31:A39"/>
    <mergeCell ref="A40:A48"/>
    <mergeCell ref="J54:R54"/>
    <mergeCell ref="B43:B45"/>
    <mergeCell ref="B46:B48"/>
    <mergeCell ref="A54:I54"/>
    <mergeCell ref="B31:B33"/>
    <mergeCell ref="B34:B36"/>
    <mergeCell ref="B37:B39"/>
    <mergeCell ref="F5:J5"/>
    <mergeCell ref="A5:C6"/>
    <mergeCell ref="B40:B42"/>
    <mergeCell ref="B19:B21"/>
    <mergeCell ref="B22:B24"/>
    <mergeCell ref="B25:B27"/>
    <mergeCell ref="B28:B30"/>
    <mergeCell ref="B10:B12"/>
    <mergeCell ref="B13:B15"/>
    <mergeCell ref="B16:B18"/>
    <mergeCell ref="A7:A18"/>
    <mergeCell ref="A1:I1"/>
    <mergeCell ref="J1:R1"/>
    <mergeCell ref="K3:Q3"/>
    <mergeCell ref="B7:B9"/>
    <mergeCell ref="B3:H3"/>
    <mergeCell ref="O5:R5"/>
    <mergeCell ref="D5:D6"/>
    <mergeCell ref="K5:N5"/>
    <mergeCell ref="E5:E6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Q54"/>
  <sheetViews>
    <sheetView view="pageLayout" zoomScaleSheetLayoutView="85" workbookViewId="0" topLeftCell="A40">
      <selection activeCell="A54" sqref="A54:I54"/>
    </sheetView>
  </sheetViews>
  <sheetFormatPr defaultColWidth="9.00390625" defaultRowHeight="16.5"/>
  <cols>
    <col min="1" max="1" width="6.00390625" style="85" customWidth="1"/>
    <col min="2" max="3" width="9.625" style="85" customWidth="1"/>
    <col min="4" max="4" width="11.375" style="85" customWidth="1"/>
    <col min="5" max="5" width="9.625" style="85" customWidth="1"/>
    <col min="6" max="9" width="10.125" style="85" customWidth="1"/>
    <col min="10" max="18" width="9.75390625" style="85" customWidth="1"/>
    <col min="19" max="16384" width="9.00390625" style="85" customWidth="1"/>
  </cols>
  <sheetData>
    <row r="1" spans="1:18" s="98" customFormat="1" ht="21.75" customHeight="1">
      <c r="A1" s="539" t="s">
        <v>304</v>
      </c>
      <c r="B1" s="505"/>
      <c r="C1" s="505"/>
      <c r="D1" s="505"/>
      <c r="E1" s="505"/>
      <c r="F1" s="505"/>
      <c r="G1" s="505"/>
      <c r="H1" s="505"/>
      <c r="I1" s="505"/>
      <c r="J1" s="505" t="s">
        <v>305</v>
      </c>
      <c r="K1" s="505"/>
      <c r="L1" s="505"/>
      <c r="M1" s="505"/>
      <c r="N1" s="505"/>
      <c r="O1" s="505"/>
      <c r="P1" s="505"/>
      <c r="Q1" s="505"/>
      <c r="R1" s="505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97" customFormat="1" ht="15" customHeight="1">
      <c r="A3" s="16"/>
      <c r="B3" s="587" t="s">
        <v>831</v>
      </c>
      <c r="C3" s="588"/>
      <c r="D3" s="588"/>
      <c r="E3" s="588"/>
      <c r="F3" s="588"/>
      <c r="G3" s="588"/>
      <c r="H3" s="588"/>
      <c r="I3" s="4" t="s">
        <v>761</v>
      </c>
      <c r="K3" s="586" t="s">
        <v>832</v>
      </c>
      <c r="L3" s="586"/>
      <c r="M3" s="586"/>
      <c r="N3" s="586"/>
      <c r="O3" s="586"/>
      <c r="P3" s="586"/>
      <c r="Q3" s="586"/>
      <c r="R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8" s="42" customFormat="1" ht="31.5" customHeight="1">
      <c r="A5" s="509"/>
      <c r="B5" s="509"/>
      <c r="C5" s="488"/>
      <c r="D5" s="507" t="s">
        <v>762</v>
      </c>
      <c r="E5" s="507" t="s">
        <v>977</v>
      </c>
      <c r="F5" s="495" t="s">
        <v>763</v>
      </c>
      <c r="G5" s="496"/>
      <c r="H5" s="496"/>
      <c r="I5" s="496"/>
      <c r="J5" s="487"/>
      <c r="K5" s="496" t="s">
        <v>979</v>
      </c>
      <c r="L5" s="496"/>
      <c r="M5" s="496"/>
      <c r="N5" s="514"/>
      <c r="O5" s="495" t="s">
        <v>764</v>
      </c>
      <c r="P5" s="496"/>
      <c r="Q5" s="496"/>
      <c r="R5" s="496"/>
    </row>
    <row r="6" spans="1:18" s="42" customFormat="1" ht="65.25" customHeight="1">
      <c r="A6" s="510"/>
      <c r="B6" s="510"/>
      <c r="C6" s="511"/>
      <c r="D6" s="517"/>
      <c r="E6" s="517"/>
      <c r="F6" s="123" t="s">
        <v>808</v>
      </c>
      <c r="G6" s="123" t="s">
        <v>853</v>
      </c>
      <c r="H6" s="52" t="s">
        <v>852</v>
      </c>
      <c r="I6" s="327" t="s">
        <v>846</v>
      </c>
      <c r="J6" s="52" t="s">
        <v>847</v>
      </c>
      <c r="K6" s="52" t="s">
        <v>848</v>
      </c>
      <c r="L6" s="123" t="s">
        <v>849</v>
      </c>
      <c r="M6" s="123" t="s">
        <v>850</v>
      </c>
      <c r="N6" s="51" t="s">
        <v>851</v>
      </c>
      <c r="O6" s="118" t="s">
        <v>927</v>
      </c>
      <c r="P6" s="117" t="s">
        <v>928</v>
      </c>
      <c r="Q6" s="117" t="s">
        <v>937</v>
      </c>
      <c r="R6" s="120" t="s">
        <v>711</v>
      </c>
    </row>
    <row r="7" spans="1:43" s="93" customFormat="1" ht="13.5" customHeight="1">
      <c r="A7" s="557" t="s">
        <v>595</v>
      </c>
      <c r="B7" s="507" t="s">
        <v>536</v>
      </c>
      <c r="C7" s="234" t="s">
        <v>980</v>
      </c>
      <c r="D7" s="54">
        <v>36</v>
      </c>
      <c r="E7" s="55">
        <v>42</v>
      </c>
      <c r="F7" s="55">
        <v>0</v>
      </c>
      <c r="G7" s="55">
        <v>5</v>
      </c>
      <c r="H7" s="55">
        <v>3</v>
      </c>
      <c r="I7" s="55">
        <v>4</v>
      </c>
      <c r="J7" s="55">
        <v>6</v>
      </c>
      <c r="K7" s="55">
        <v>6</v>
      </c>
      <c r="L7" s="55">
        <v>6</v>
      </c>
      <c r="M7" s="55">
        <v>5</v>
      </c>
      <c r="N7" s="55">
        <v>1</v>
      </c>
      <c r="O7" s="55">
        <v>5</v>
      </c>
      <c r="P7" s="55">
        <v>28</v>
      </c>
      <c r="Q7" s="55">
        <v>3</v>
      </c>
      <c r="R7" s="55">
        <v>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93" customFormat="1" ht="13.5" customHeight="1">
      <c r="A8" s="558"/>
      <c r="B8" s="516"/>
      <c r="C8" s="124" t="s">
        <v>981</v>
      </c>
      <c r="D8" s="24">
        <v>18</v>
      </c>
      <c r="E8" s="10">
        <v>44</v>
      </c>
      <c r="F8" s="10">
        <v>0</v>
      </c>
      <c r="G8" s="10">
        <v>1</v>
      </c>
      <c r="H8" s="10">
        <v>2</v>
      </c>
      <c r="I8" s="10">
        <v>1</v>
      </c>
      <c r="J8" s="10">
        <v>5</v>
      </c>
      <c r="K8" s="10">
        <v>3</v>
      </c>
      <c r="L8" s="10">
        <v>3</v>
      </c>
      <c r="M8" s="10">
        <v>3</v>
      </c>
      <c r="N8" s="10">
        <v>0</v>
      </c>
      <c r="O8" s="10">
        <v>3</v>
      </c>
      <c r="P8" s="10">
        <v>13</v>
      </c>
      <c r="Q8" s="10">
        <v>2</v>
      </c>
      <c r="R8" s="10">
        <v>0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s="93" customFormat="1" ht="13.5" customHeight="1">
      <c r="A9" s="558"/>
      <c r="B9" s="517"/>
      <c r="C9" s="235" t="s">
        <v>982</v>
      </c>
      <c r="D9" s="24">
        <v>18</v>
      </c>
      <c r="E9" s="10">
        <v>40</v>
      </c>
      <c r="F9" s="10">
        <v>0</v>
      </c>
      <c r="G9" s="10">
        <v>4</v>
      </c>
      <c r="H9" s="10">
        <v>1</v>
      </c>
      <c r="I9" s="10">
        <v>3</v>
      </c>
      <c r="J9" s="10">
        <v>1</v>
      </c>
      <c r="K9" s="10">
        <v>3</v>
      </c>
      <c r="L9" s="10">
        <v>3</v>
      </c>
      <c r="M9" s="10">
        <v>2</v>
      </c>
      <c r="N9" s="10">
        <v>1</v>
      </c>
      <c r="O9" s="10">
        <v>2</v>
      </c>
      <c r="P9" s="10">
        <v>15</v>
      </c>
      <c r="Q9" s="10">
        <v>1</v>
      </c>
      <c r="R9" s="10">
        <v>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18" s="93" customFormat="1" ht="13.5" customHeight="1">
      <c r="A10" s="550" t="s">
        <v>596</v>
      </c>
      <c r="B10" s="491" t="s">
        <v>537</v>
      </c>
      <c r="C10" s="234" t="s">
        <v>980</v>
      </c>
      <c r="D10" s="54">
        <v>29</v>
      </c>
      <c r="E10" s="55">
        <v>43</v>
      </c>
      <c r="F10" s="55">
        <v>0</v>
      </c>
      <c r="G10" s="55">
        <v>2</v>
      </c>
      <c r="H10" s="55">
        <v>5</v>
      </c>
      <c r="I10" s="55">
        <v>5</v>
      </c>
      <c r="J10" s="55">
        <v>4</v>
      </c>
      <c r="K10" s="55">
        <v>4</v>
      </c>
      <c r="L10" s="55">
        <v>7</v>
      </c>
      <c r="M10" s="55">
        <v>2</v>
      </c>
      <c r="N10" s="55">
        <v>0</v>
      </c>
      <c r="O10" s="55">
        <v>3</v>
      </c>
      <c r="P10" s="55">
        <v>22</v>
      </c>
      <c r="Q10" s="55">
        <v>4</v>
      </c>
      <c r="R10" s="55">
        <v>0</v>
      </c>
    </row>
    <row r="11" spans="1:18" s="93" customFormat="1" ht="13.5" customHeight="1">
      <c r="A11" s="550"/>
      <c r="B11" s="492"/>
      <c r="C11" s="124" t="s">
        <v>981</v>
      </c>
      <c r="D11" s="64">
        <v>7</v>
      </c>
      <c r="E11" s="49">
        <v>43</v>
      </c>
      <c r="F11" s="58">
        <v>0</v>
      </c>
      <c r="G11" s="49">
        <v>0</v>
      </c>
      <c r="H11" s="49">
        <v>3</v>
      </c>
      <c r="I11" s="49">
        <v>0</v>
      </c>
      <c r="J11" s="59">
        <v>1</v>
      </c>
      <c r="K11" s="58">
        <v>2</v>
      </c>
      <c r="L11" s="58">
        <v>1</v>
      </c>
      <c r="M11" s="58">
        <v>0</v>
      </c>
      <c r="N11" s="58">
        <v>0</v>
      </c>
      <c r="O11" s="58">
        <v>2</v>
      </c>
      <c r="P11" s="58">
        <v>5</v>
      </c>
      <c r="Q11" s="58">
        <v>0</v>
      </c>
      <c r="R11" s="58">
        <v>0</v>
      </c>
    </row>
    <row r="12" spans="1:18" s="93" customFormat="1" ht="13.5" customHeight="1">
      <c r="A12" s="550"/>
      <c r="B12" s="492"/>
      <c r="C12" s="235" t="s">
        <v>982</v>
      </c>
      <c r="D12" s="64">
        <v>22</v>
      </c>
      <c r="E12" s="49">
        <v>44</v>
      </c>
      <c r="F12" s="58">
        <v>0</v>
      </c>
      <c r="G12" s="49">
        <v>2</v>
      </c>
      <c r="H12" s="49">
        <v>2</v>
      </c>
      <c r="I12" s="49">
        <v>5</v>
      </c>
      <c r="J12" s="59">
        <v>3</v>
      </c>
      <c r="K12" s="58">
        <v>2</v>
      </c>
      <c r="L12" s="58">
        <v>6</v>
      </c>
      <c r="M12" s="58">
        <v>2</v>
      </c>
      <c r="N12" s="58">
        <v>0</v>
      </c>
      <c r="O12" s="58">
        <v>1</v>
      </c>
      <c r="P12" s="58">
        <v>17</v>
      </c>
      <c r="Q12" s="58">
        <v>4</v>
      </c>
      <c r="R12" s="58">
        <v>0</v>
      </c>
    </row>
    <row r="13" spans="1:18" ht="13.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</row>
    <row r="14" spans="1:18" ht="13.5" customHeight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18" ht="13.5" customHeight="1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>
      <c r="A44" s="328" t="s">
        <v>754</v>
      </c>
    </row>
    <row r="45" ht="13.5" customHeight="1"/>
    <row r="46" ht="13.5" customHeight="1"/>
    <row r="47" ht="13.5" customHeight="1"/>
    <row r="48" ht="13.5" customHeight="1"/>
    <row r="50" ht="16.5" customHeight="1"/>
    <row r="53" spans="10:18" ht="15.75">
      <c r="J53" s="573" t="str">
        <f>"- "&amp;Sheet1!G35&amp;" -"</f>
        <v>- 235 -</v>
      </c>
      <c r="K53" s="573"/>
      <c r="L53" s="573"/>
      <c r="M53" s="573"/>
      <c r="N53" s="573"/>
      <c r="O53" s="573"/>
      <c r="P53" s="573"/>
      <c r="Q53" s="573"/>
      <c r="R53" s="573"/>
    </row>
    <row r="54" spans="1:9" ht="15.75">
      <c r="A54" s="573" t="str">
        <f>"- "&amp;Sheet1!F35&amp;" -"</f>
        <v>- 234 -</v>
      </c>
      <c r="B54" s="573"/>
      <c r="C54" s="573"/>
      <c r="D54" s="573"/>
      <c r="E54" s="573"/>
      <c r="F54" s="573"/>
      <c r="G54" s="573"/>
      <c r="H54" s="573"/>
      <c r="I54" s="573"/>
    </row>
  </sheetData>
  <sheetProtection/>
  <mergeCells count="16">
    <mergeCell ref="A7:A9"/>
    <mergeCell ref="A10:A12"/>
    <mergeCell ref="A54:I54"/>
    <mergeCell ref="J53:R53"/>
    <mergeCell ref="B7:B9"/>
    <mergeCell ref="B10:B12"/>
    <mergeCell ref="K5:N5"/>
    <mergeCell ref="E5:E6"/>
    <mergeCell ref="F5:J5"/>
    <mergeCell ref="A1:I1"/>
    <mergeCell ref="J1:R1"/>
    <mergeCell ref="K3:Q3"/>
    <mergeCell ref="O5:R5"/>
    <mergeCell ref="A5:C6"/>
    <mergeCell ref="B3:H3"/>
    <mergeCell ref="D5:D6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Q50"/>
  <sheetViews>
    <sheetView zoomScale="75" zoomScaleNormal="75" zoomScalePageLayoutView="0" workbookViewId="0" topLeftCell="A1">
      <selection activeCell="F6" sqref="F6:R6"/>
    </sheetView>
  </sheetViews>
  <sheetFormatPr defaultColWidth="9.00390625" defaultRowHeight="16.5"/>
  <cols>
    <col min="1" max="1" width="6.00390625" style="85" customWidth="1"/>
    <col min="2" max="3" width="9.625" style="85" customWidth="1"/>
    <col min="4" max="4" width="11.375" style="85" customWidth="1"/>
    <col min="5" max="5" width="9.625" style="85" customWidth="1"/>
    <col min="6" max="9" width="10.125" style="85" customWidth="1"/>
    <col min="10" max="18" width="9.75390625" style="85" customWidth="1"/>
    <col min="19" max="16384" width="9.00390625" style="85" customWidth="1"/>
  </cols>
  <sheetData>
    <row r="1" spans="1:18" s="98" customFormat="1" ht="21.75" customHeight="1">
      <c r="A1" s="505" t="s">
        <v>765</v>
      </c>
      <c r="B1" s="505"/>
      <c r="C1" s="505"/>
      <c r="D1" s="505"/>
      <c r="E1" s="505"/>
      <c r="F1" s="505"/>
      <c r="G1" s="505"/>
      <c r="H1" s="505"/>
      <c r="I1" s="505"/>
      <c r="J1" s="505" t="s">
        <v>766</v>
      </c>
      <c r="K1" s="505"/>
      <c r="L1" s="505"/>
      <c r="M1" s="505"/>
      <c r="N1" s="505"/>
      <c r="O1" s="505"/>
      <c r="P1" s="505"/>
      <c r="Q1" s="505"/>
      <c r="R1" s="505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97" customFormat="1" ht="15" customHeight="1">
      <c r="A3" s="16"/>
      <c r="B3" s="588"/>
      <c r="C3" s="588"/>
      <c r="D3" s="588"/>
      <c r="E3" s="588"/>
      <c r="F3" s="588"/>
      <c r="G3" s="588"/>
      <c r="H3" s="588"/>
      <c r="I3" s="4" t="s">
        <v>675</v>
      </c>
      <c r="K3" s="586"/>
      <c r="L3" s="586"/>
      <c r="M3" s="586"/>
      <c r="N3" s="586"/>
      <c r="O3" s="586"/>
      <c r="P3" s="586"/>
      <c r="Q3" s="586"/>
      <c r="R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8" s="42" customFormat="1" ht="31.5" customHeight="1">
      <c r="A5" s="509"/>
      <c r="B5" s="509"/>
      <c r="C5" s="488"/>
      <c r="D5" s="507" t="s">
        <v>677</v>
      </c>
      <c r="E5" s="507" t="s">
        <v>680</v>
      </c>
      <c r="F5" s="495" t="s">
        <v>767</v>
      </c>
      <c r="G5" s="496"/>
      <c r="H5" s="496"/>
      <c r="I5" s="496"/>
      <c r="J5" s="496"/>
      <c r="K5" s="496" t="s">
        <v>682</v>
      </c>
      <c r="L5" s="496"/>
      <c r="M5" s="496"/>
      <c r="N5" s="514"/>
      <c r="O5" s="495" t="s">
        <v>768</v>
      </c>
      <c r="P5" s="496"/>
      <c r="Q5" s="496"/>
      <c r="R5" s="496"/>
    </row>
    <row r="6" spans="1:18" s="42" customFormat="1" ht="65.25" customHeight="1">
      <c r="A6" s="510"/>
      <c r="B6" s="510"/>
      <c r="C6" s="511"/>
      <c r="D6" s="517"/>
      <c r="E6" s="517"/>
      <c r="F6" s="123" t="s">
        <v>808</v>
      </c>
      <c r="G6" s="123" t="s">
        <v>853</v>
      </c>
      <c r="H6" s="52" t="s">
        <v>852</v>
      </c>
      <c r="I6" s="52" t="s">
        <v>846</v>
      </c>
      <c r="J6" s="123" t="s">
        <v>847</v>
      </c>
      <c r="K6" s="123" t="s">
        <v>848</v>
      </c>
      <c r="L6" s="123" t="s">
        <v>849</v>
      </c>
      <c r="M6" s="123" t="s">
        <v>850</v>
      </c>
      <c r="N6" s="51" t="s">
        <v>851</v>
      </c>
      <c r="O6" s="118" t="s">
        <v>927</v>
      </c>
      <c r="P6" s="117" t="s">
        <v>928</v>
      </c>
      <c r="Q6" s="117" t="s">
        <v>937</v>
      </c>
      <c r="R6" s="120" t="s">
        <v>711</v>
      </c>
    </row>
    <row r="7" spans="1:43" s="93" customFormat="1" ht="13.5" customHeight="1">
      <c r="A7" s="236"/>
      <c r="B7" s="507"/>
      <c r="C7" s="234" t="s">
        <v>687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43" s="93" customFormat="1" ht="13.5" customHeight="1">
      <c r="A8" s="153"/>
      <c r="B8" s="516"/>
      <c r="C8" s="124" t="s">
        <v>688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s="93" customFormat="1" ht="13.5" customHeight="1">
      <c r="A9" s="153"/>
      <c r="B9" s="517"/>
      <c r="C9" s="235" t="s">
        <v>689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18" s="93" customFormat="1" ht="13.5" customHeight="1">
      <c r="A10" s="153"/>
      <c r="B10" s="491"/>
      <c r="C10" s="234" t="s">
        <v>687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93" customFormat="1" ht="13.5" customHeight="1">
      <c r="A11" s="153"/>
      <c r="B11" s="492"/>
      <c r="C11" s="124" t="s">
        <v>688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</row>
    <row r="12" spans="1:18" s="93" customFormat="1" ht="13.5" customHeight="1">
      <c r="A12" s="153"/>
      <c r="B12" s="493"/>
      <c r="C12" s="235" t="s">
        <v>689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</row>
    <row r="13" spans="1:18" s="93" customFormat="1" ht="13.5" customHeight="1">
      <c r="A13" s="153"/>
      <c r="B13" s="491"/>
      <c r="C13" s="234" t="s">
        <v>687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93" customFormat="1" ht="13.5" customHeight="1">
      <c r="A14" s="153"/>
      <c r="B14" s="492"/>
      <c r="C14" s="124" t="s">
        <v>688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</row>
    <row r="15" spans="1:18" s="93" customFormat="1" ht="13.5" customHeight="1">
      <c r="A15" s="153"/>
      <c r="B15" s="493"/>
      <c r="C15" s="235" t="s">
        <v>689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</row>
    <row r="16" spans="1:18" s="93" customFormat="1" ht="13.5" customHeight="1">
      <c r="A16" s="153"/>
      <c r="B16" s="491"/>
      <c r="C16" s="234" t="s">
        <v>687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93" customFormat="1" ht="13.5" customHeight="1">
      <c r="A17" s="153"/>
      <c r="B17" s="492"/>
      <c r="C17" s="124" t="s">
        <v>688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s="93" customFormat="1" ht="13.5" customHeight="1">
      <c r="A18" s="153"/>
      <c r="B18" s="492"/>
      <c r="C18" s="235" t="s">
        <v>689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s="93" customFormat="1" ht="13.5" customHeight="1">
      <c r="A19" s="153"/>
      <c r="B19" s="491"/>
      <c r="C19" s="234" t="s">
        <v>687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93" customFormat="1" ht="13.5" customHeight="1">
      <c r="A20" s="153"/>
      <c r="B20" s="492"/>
      <c r="C20" s="124" t="s">
        <v>688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</row>
    <row r="21" spans="1:18" s="93" customFormat="1" ht="13.5" customHeight="1">
      <c r="A21" s="153"/>
      <c r="B21" s="492"/>
      <c r="C21" s="235" t="s">
        <v>689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</row>
    <row r="22" spans="1:18" s="93" customFormat="1" ht="13.5" customHeight="1">
      <c r="A22" s="153"/>
      <c r="B22" s="491"/>
      <c r="C22" s="234" t="s">
        <v>687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s="93" customFormat="1" ht="13.5" customHeight="1">
      <c r="A23" s="153"/>
      <c r="B23" s="492"/>
      <c r="C23" s="124" t="s">
        <v>688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</row>
    <row r="24" spans="1:18" s="93" customFormat="1" ht="13.5" customHeight="1">
      <c r="A24" s="153"/>
      <c r="B24" s="493"/>
      <c r="C24" s="235" t="s">
        <v>689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</row>
    <row r="25" spans="1:18" s="93" customFormat="1" ht="13.5" customHeight="1">
      <c r="A25" s="153"/>
      <c r="B25" s="494"/>
      <c r="C25" s="234" t="s">
        <v>687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93" customFormat="1" ht="13.5" customHeight="1">
      <c r="A26" s="153"/>
      <c r="B26" s="494"/>
      <c r="C26" s="124" t="s">
        <v>688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</row>
    <row r="27" spans="1:18" s="93" customFormat="1" ht="13.5" customHeight="1">
      <c r="A27" s="153"/>
      <c r="B27" s="494"/>
      <c r="C27" s="235" t="s">
        <v>689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</row>
    <row r="28" spans="1:18" s="93" customFormat="1" ht="13.5" customHeight="1">
      <c r="A28" s="153"/>
      <c r="B28" s="507"/>
      <c r="C28" s="234" t="s">
        <v>687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9" s="93" customFormat="1" ht="13.5" customHeight="1">
      <c r="A29" s="153"/>
      <c r="B29" s="516"/>
      <c r="C29" s="124" t="s">
        <v>688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94"/>
    </row>
    <row r="30" spans="1:19" s="93" customFormat="1" ht="13.5" customHeight="1">
      <c r="A30" s="153"/>
      <c r="B30" s="517"/>
      <c r="C30" s="235" t="s">
        <v>689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94"/>
    </row>
    <row r="31" spans="1:18" s="93" customFormat="1" ht="13.5" customHeight="1">
      <c r="A31" s="153"/>
      <c r="B31" s="491"/>
      <c r="C31" s="234" t="s">
        <v>687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9" s="93" customFormat="1" ht="13.5" customHeight="1">
      <c r="A32" s="153"/>
      <c r="B32" s="492"/>
      <c r="C32" s="124" t="s">
        <v>688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94"/>
    </row>
    <row r="33" spans="1:19" s="93" customFormat="1" ht="13.5" customHeight="1">
      <c r="A33" s="153"/>
      <c r="B33" s="493"/>
      <c r="C33" s="235" t="s">
        <v>689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94"/>
    </row>
    <row r="34" spans="1:18" ht="13.5" customHeight="1">
      <c r="A34" s="153"/>
      <c r="B34" s="491"/>
      <c r="C34" s="234" t="s">
        <v>687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3.5" customHeight="1">
      <c r="A35" s="153"/>
      <c r="B35" s="492"/>
      <c r="C35" s="124" t="s">
        <v>688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</row>
    <row r="36" spans="1:18" ht="13.5" customHeight="1">
      <c r="A36" s="153"/>
      <c r="B36" s="493"/>
      <c r="C36" s="235" t="s">
        <v>689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</row>
    <row r="37" spans="1:18" ht="13.5" customHeight="1">
      <c r="A37" s="153"/>
      <c r="B37" s="492"/>
      <c r="C37" s="234" t="s">
        <v>687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3.5" customHeight="1">
      <c r="A38" s="153"/>
      <c r="B38" s="492"/>
      <c r="C38" s="124" t="s">
        <v>688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3.5" customHeight="1">
      <c r="A39" s="153"/>
      <c r="B39" s="492"/>
      <c r="C39" s="235" t="s">
        <v>689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 customHeight="1">
      <c r="A40" s="153"/>
      <c r="B40" s="491"/>
      <c r="C40" s="234" t="s">
        <v>687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3.5" customHeight="1">
      <c r="A41" s="153"/>
      <c r="B41" s="492"/>
      <c r="C41" s="124" t="s">
        <v>688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3.5" customHeight="1">
      <c r="A42" s="153"/>
      <c r="B42" s="493"/>
      <c r="C42" s="235" t="s">
        <v>689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93" customFormat="1" ht="13.5" customHeight="1">
      <c r="A43" s="153"/>
      <c r="B43" s="491"/>
      <c r="C43" s="234" t="s">
        <v>687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s="93" customFormat="1" ht="13.5" customHeight="1">
      <c r="A44" s="153"/>
      <c r="B44" s="492"/>
      <c r="C44" s="124" t="s">
        <v>688</v>
      </c>
      <c r="D44" s="2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93" customFormat="1" ht="13.5" customHeight="1">
      <c r="A45" s="153"/>
      <c r="B45" s="493"/>
      <c r="C45" s="235" t="s">
        <v>689</v>
      </c>
      <c r="D45" s="2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s="93" customFormat="1" ht="13.5" customHeight="1">
      <c r="A46" s="153"/>
      <c r="B46" s="507"/>
      <c r="C46" s="234" t="s">
        <v>687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s="93" customFormat="1" ht="13.5" customHeight="1">
      <c r="A47" s="153"/>
      <c r="B47" s="516"/>
      <c r="C47" s="124" t="s">
        <v>688</v>
      </c>
      <c r="D47" s="2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s="93" customFormat="1" ht="13.5" customHeight="1">
      <c r="A48" s="153"/>
      <c r="B48" s="517"/>
      <c r="C48" s="124" t="s">
        <v>689</v>
      </c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50" spans="1:18" ht="16.5" customHeight="1">
      <c r="A50" s="585" t="str">
        <f>"- "&amp;Sheet1!H35&amp;" -"</f>
        <v>-  -</v>
      </c>
      <c r="B50" s="585"/>
      <c r="C50" s="585"/>
      <c r="D50" s="585"/>
      <c r="E50" s="585"/>
      <c r="F50" s="585"/>
      <c r="G50" s="585"/>
      <c r="H50" s="585"/>
      <c r="I50" s="585"/>
      <c r="J50" s="585" t="str">
        <f>"- "&amp;Sheet1!I35&amp;" -"</f>
        <v>-  -</v>
      </c>
      <c r="K50" s="585"/>
      <c r="L50" s="585"/>
      <c r="M50" s="585"/>
      <c r="N50" s="585"/>
      <c r="O50" s="585"/>
      <c r="P50" s="585"/>
      <c r="Q50" s="585"/>
      <c r="R50" s="585"/>
    </row>
  </sheetData>
  <sheetProtection/>
  <mergeCells count="26">
    <mergeCell ref="B43:B45"/>
    <mergeCell ref="B46:B48"/>
    <mergeCell ref="B31:B33"/>
    <mergeCell ref="B34:B36"/>
    <mergeCell ref="B37:B39"/>
    <mergeCell ref="B40:B42"/>
    <mergeCell ref="K5:N5"/>
    <mergeCell ref="E5:E6"/>
    <mergeCell ref="F5:J5"/>
    <mergeCell ref="A1:I1"/>
    <mergeCell ref="J1:R1"/>
    <mergeCell ref="K3:Q3"/>
    <mergeCell ref="O5:R5"/>
    <mergeCell ref="A5:C6"/>
    <mergeCell ref="B3:H3"/>
    <mergeCell ref="D5:D6"/>
    <mergeCell ref="A50:I50"/>
    <mergeCell ref="J50:R50"/>
    <mergeCell ref="B7:B9"/>
    <mergeCell ref="B10:B12"/>
    <mergeCell ref="B13:B15"/>
    <mergeCell ref="B16:B18"/>
    <mergeCell ref="B19:B21"/>
    <mergeCell ref="B22:B24"/>
    <mergeCell ref="B25:B27"/>
    <mergeCell ref="B28:B30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48"/>
  <sheetViews>
    <sheetView view="pageLayout" zoomScaleSheetLayoutView="85" workbookViewId="0" topLeftCell="A34">
      <selection activeCell="A48" sqref="A48:J48"/>
    </sheetView>
  </sheetViews>
  <sheetFormatPr defaultColWidth="9.00390625" defaultRowHeight="16.5"/>
  <cols>
    <col min="1" max="1" width="3.75390625" style="85" customWidth="1"/>
    <col min="2" max="2" width="9.625" style="85" customWidth="1"/>
    <col min="3" max="3" width="9.875" style="85" customWidth="1"/>
    <col min="4" max="5" width="9.625" style="85" customWidth="1"/>
    <col min="6" max="9" width="8.875" style="85" customWidth="1"/>
    <col min="10" max="10" width="9.25390625" style="85" customWidth="1"/>
    <col min="11" max="13" width="8.50390625" style="85" customWidth="1"/>
    <col min="14" max="14" width="8.125" style="85" customWidth="1"/>
    <col min="15" max="15" width="8.87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625" style="85" customWidth="1"/>
    <col min="20" max="16384" width="9.00390625" style="85" customWidth="1"/>
  </cols>
  <sheetData>
    <row r="1" spans="1:19" s="98" customFormat="1" ht="21.75" customHeight="1">
      <c r="A1" s="590" t="s">
        <v>770</v>
      </c>
      <c r="B1" s="590"/>
      <c r="C1" s="590"/>
      <c r="D1" s="590"/>
      <c r="E1" s="590"/>
      <c r="F1" s="590"/>
      <c r="G1" s="590"/>
      <c r="H1" s="590"/>
      <c r="I1" s="590"/>
      <c r="J1" s="590"/>
      <c r="K1" s="590" t="s">
        <v>228</v>
      </c>
      <c r="L1" s="590"/>
      <c r="M1" s="590"/>
      <c r="N1" s="590"/>
      <c r="O1" s="590"/>
      <c r="P1" s="590"/>
      <c r="Q1" s="590"/>
      <c r="R1" s="590"/>
      <c r="S1" s="590"/>
    </row>
    <row r="2" spans="1:19" ht="12" customHeight="1">
      <c r="A2" s="192"/>
      <c r="B2" s="192"/>
      <c r="C2" s="192"/>
      <c r="D2" s="192"/>
      <c r="E2" s="192"/>
      <c r="F2" s="192"/>
      <c r="G2" s="192"/>
      <c r="H2" s="192"/>
      <c r="I2" s="192"/>
      <c r="J2" s="1"/>
      <c r="K2" s="1"/>
      <c r="L2" s="192"/>
      <c r="M2" s="192"/>
      <c r="N2" s="192"/>
      <c r="O2" s="192"/>
      <c r="P2" s="192"/>
      <c r="Q2" s="192"/>
      <c r="R2" s="192"/>
      <c r="S2" s="192"/>
    </row>
    <row r="3" spans="1:19" s="97" customFormat="1" ht="15" customHeight="1">
      <c r="A3" s="209"/>
      <c r="B3" s="209"/>
      <c r="C3" s="460" t="s">
        <v>758</v>
      </c>
      <c r="D3" s="461"/>
      <c r="E3" s="461"/>
      <c r="F3" s="461"/>
      <c r="G3" s="461"/>
      <c r="H3" s="461"/>
      <c r="I3" s="461"/>
      <c r="J3" s="4" t="s">
        <v>698</v>
      </c>
      <c r="K3" s="193"/>
      <c r="L3" s="595" t="s">
        <v>759</v>
      </c>
      <c r="M3" s="595"/>
      <c r="N3" s="595"/>
      <c r="O3" s="595"/>
      <c r="P3" s="595"/>
      <c r="Q3" s="595"/>
      <c r="R3" s="595"/>
      <c r="S3" s="238" t="s">
        <v>393</v>
      </c>
    </row>
    <row r="4" spans="1:19" s="25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710</v>
      </c>
      <c r="E5" s="507" t="s">
        <v>707</v>
      </c>
      <c r="F5" s="495" t="s">
        <v>938</v>
      </c>
      <c r="G5" s="596"/>
      <c r="H5" s="596"/>
      <c r="I5" s="596"/>
      <c r="J5" s="596"/>
      <c r="K5" s="487" t="s">
        <v>667</v>
      </c>
      <c r="L5" s="596"/>
      <c r="M5" s="596"/>
      <c r="N5" s="596"/>
      <c r="O5" s="596"/>
      <c r="P5" s="495" t="s">
        <v>932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327" t="s">
        <v>789</v>
      </c>
      <c r="K6" s="52" t="s">
        <v>790</v>
      </c>
      <c r="L6" s="52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20" t="s">
        <v>937</v>
      </c>
      <c r="S6" s="352" t="s">
        <v>711</v>
      </c>
    </row>
    <row r="7" spans="1:19" s="42" customFormat="1" ht="15.75" customHeight="1">
      <c r="A7" s="532" t="s">
        <v>725</v>
      </c>
      <c r="B7" s="491"/>
      <c r="C7" s="141" t="s">
        <v>101</v>
      </c>
      <c r="D7" s="131">
        <v>112</v>
      </c>
      <c r="E7" s="131">
        <v>51</v>
      </c>
      <c r="F7" s="131">
        <v>0</v>
      </c>
      <c r="G7" s="131">
        <v>0</v>
      </c>
      <c r="H7" s="131">
        <v>0</v>
      </c>
      <c r="I7" s="131">
        <v>0</v>
      </c>
      <c r="J7" s="131">
        <v>3</v>
      </c>
      <c r="K7" s="139">
        <v>12</v>
      </c>
      <c r="L7" s="131">
        <v>22</v>
      </c>
      <c r="M7" s="131">
        <v>36</v>
      </c>
      <c r="N7" s="131">
        <v>32</v>
      </c>
      <c r="O7" s="131">
        <v>7</v>
      </c>
      <c r="P7" s="131">
        <v>98</v>
      </c>
      <c r="Q7" s="131">
        <v>14</v>
      </c>
      <c r="R7" s="131">
        <v>0</v>
      </c>
      <c r="S7" s="139">
        <v>0</v>
      </c>
    </row>
    <row r="8" spans="1:19" s="42" customFormat="1" ht="15.75" customHeight="1">
      <c r="A8" s="533"/>
      <c r="B8" s="492"/>
      <c r="C8" s="143" t="s">
        <v>102</v>
      </c>
      <c r="D8" s="10">
        <v>79</v>
      </c>
      <c r="E8" s="10">
        <v>52</v>
      </c>
      <c r="F8" s="10">
        <v>0</v>
      </c>
      <c r="G8" s="10">
        <v>0</v>
      </c>
      <c r="H8" s="10">
        <v>0</v>
      </c>
      <c r="I8" s="10">
        <v>0</v>
      </c>
      <c r="J8" s="10">
        <v>2</v>
      </c>
      <c r="K8" s="10">
        <v>6</v>
      </c>
      <c r="L8" s="10">
        <v>12</v>
      </c>
      <c r="M8" s="10">
        <v>25</v>
      </c>
      <c r="N8" s="10">
        <v>28</v>
      </c>
      <c r="O8" s="10">
        <v>6</v>
      </c>
      <c r="P8" s="10">
        <v>66</v>
      </c>
      <c r="Q8" s="10">
        <v>13</v>
      </c>
      <c r="R8" s="10">
        <v>0</v>
      </c>
      <c r="S8" s="10">
        <v>0</v>
      </c>
    </row>
    <row r="9" spans="1:19" s="42" customFormat="1" ht="15.75" customHeight="1">
      <c r="A9" s="589"/>
      <c r="B9" s="493"/>
      <c r="C9" s="143" t="s">
        <v>103</v>
      </c>
      <c r="D9" s="31">
        <v>33</v>
      </c>
      <c r="E9" s="31">
        <v>50</v>
      </c>
      <c r="F9" s="31">
        <v>0</v>
      </c>
      <c r="G9" s="31">
        <v>0</v>
      </c>
      <c r="H9" s="31">
        <v>0</v>
      </c>
      <c r="I9" s="31">
        <v>0</v>
      </c>
      <c r="J9" s="31">
        <v>1</v>
      </c>
      <c r="K9" s="31">
        <v>6</v>
      </c>
      <c r="L9" s="31">
        <v>10</v>
      </c>
      <c r="M9" s="31">
        <v>11</v>
      </c>
      <c r="N9" s="31">
        <v>4</v>
      </c>
      <c r="O9" s="262">
        <v>1</v>
      </c>
      <c r="P9" s="31">
        <v>32</v>
      </c>
      <c r="Q9" s="262">
        <v>1</v>
      </c>
      <c r="R9" s="31">
        <v>0</v>
      </c>
      <c r="S9" s="10">
        <v>0</v>
      </c>
    </row>
    <row r="10" spans="1:19" s="42" customFormat="1" ht="15.75" customHeight="1">
      <c r="A10" s="532" t="s">
        <v>726</v>
      </c>
      <c r="B10" s="491"/>
      <c r="C10" s="141" t="s">
        <v>782</v>
      </c>
      <c r="D10" s="131">
        <v>56</v>
      </c>
      <c r="E10" s="131">
        <v>52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6</v>
      </c>
      <c r="L10" s="131">
        <v>10</v>
      </c>
      <c r="M10" s="131">
        <v>16</v>
      </c>
      <c r="N10" s="131">
        <v>21</v>
      </c>
      <c r="O10" s="131">
        <v>3</v>
      </c>
      <c r="P10" s="131">
        <v>45</v>
      </c>
      <c r="Q10" s="131">
        <v>11</v>
      </c>
      <c r="R10" s="131">
        <v>0</v>
      </c>
      <c r="S10" s="131">
        <v>0</v>
      </c>
    </row>
    <row r="11" spans="1:19" s="42" customFormat="1" ht="15.75" customHeight="1">
      <c r="A11" s="533"/>
      <c r="B11" s="492"/>
      <c r="C11" s="143" t="s">
        <v>783</v>
      </c>
      <c r="D11" s="10">
        <v>45</v>
      </c>
      <c r="E11" s="10">
        <v>52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6</v>
      </c>
      <c r="M11" s="10">
        <v>15</v>
      </c>
      <c r="N11" s="10">
        <v>20</v>
      </c>
      <c r="O11" s="10">
        <v>3</v>
      </c>
      <c r="P11" s="10">
        <v>34</v>
      </c>
      <c r="Q11" s="10">
        <v>11</v>
      </c>
      <c r="R11" s="10">
        <v>0</v>
      </c>
      <c r="S11" s="10">
        <v>0</v>
      </c>
    </row>
    <row r="12" spans="1:19" s="42" customFormat="1" ht="15.75" customHeight="1">
      <c r="A12" s="589"/>
      <c r="B12" s="493"/>
      <c r="C12" s="143" t="s">
        <v>784</v>
      </c>
      <c r="D12" s="31">
        <v>11</v>
      </c>
      <c r="E12" s="31">
        <v>51</v>
      </c>
      <c r="F12" s="31">
        <v>0</v>
      </c>
      <c r="G12" s="31">
        <v>0</v>
      </c>
      <c r="H12" s="31">
        <v>0</v>
      </c>
      <c r="I12" s="31">
        <v>0</v>
      </c>
      <c r="J12" s="10">
        <v>0</v>
      </c>
      <c r="K12" s="31">
        <v>5</v>
      </c>
      <c r="L12" s="31">
        <v>4</v>
      </c>
      <c r="M12" s="31">
        <v>1</v>
      </c>
      <c r="N12" s="31">
        <v>1</v>
      </c>
      <c r="O12" s="10">
        <v>0</v>
      </c>
      <c r="P12" s="31">
        <v>11</v>
      </c>
      <c r="Q12" s="10">
        <v>0</v>
      </c>
      <c r="R12" s="31">
        <v>0</v>
      </c>
      <c r="S12" s="10">
        <v>0</v>
      </c>
    </row>
    <row r="13" spans="1:19" s="42" customFormat="1" ht="15.75" customHeight="1">
      <c r="A13" s="532" t="s">
        <v>727</v>
      </c>
      <c r="B13" s="491"/>
      <c r="C13" s="141" t="s">
        <v>782</v>
      </c>
      <c r="D13" s="131">
        <v>56</v>
      </c>
      <c r="E13" s="131">
        <v>51</v>
      </c>
      <c r="F13" s="131">
        <v>0</v>
      </c>
      <c r="G13" s="131">
        <v>0</v>
      </c>
      <c r="H13" s="131">
        <v>0</v>
      </c>
      <c r="I13" s="131">
        <v>0</v>
      </c>
      <c r="J13" s="131">
        <v>3</v>
      </c>
      <c r="K13" s="131">
        <v>6</v>
      </c>
      <c r="L13" s="131">
        <v>12</v>
      </c>
      <c r="M13" s="131">
        <v>20</v>
      </c>
      <c r="N13" s="131">
        <v>11</v>
      </c>
      <c r="O13" s="131">
        <v>4</v>
      </c>
      <c r="P13" s="131">
        <v>53</v>
      </c>
      <c r="Q13" s="131">
        <v>3</v>
      </c>
      <c r="R13" s="131">
        <v>0</v>
      </c>
      <c r="S13" s="131">
        <v>0</v>
      </c>
    </row>
    <row r="14" spans="1:19" s="42" customFormat="1" ht="15.75" customHeight="1">
      <c r="A14" s="533"/>
      <c r="B14" s="492"/>
      <c r="C14" s="143" t="s">
        <v>783</v>
      </c>
      <c r="D14" s="10">
        <v>34</v>
      </c>
      <c r="E14" s="10">
        <v>51</v>
      </c>
      <c r="F14" s="10">
        <v>0</v>
      </c>
      <c r="G14" s="10">
        <v>0</v>
      </c>
      <c r="H14" s="10">
        <v>0</v>
      </c>
      <c r="I14" s="10">
        <v>0</v>
      </c>
      <c r="J14" s="10">
        <v>2</v>
      </c>
      <c r="K14" s="10">
        <v>5</v>
      </c>
      <c r="L14" s="10">
        <v>6</v>
      </c>
      <c r="M14" s="10">
        <v>10</v>
      </c>
      <c r="N14" s="10">
        <v>8</v>
      </c>
      <c r="O14" s="10">
        <v>3</v>
      </c>
      <c r="P14" s="10">
        <v>32</v>
      </c>
      <c r="Q14" s="10">
        <v>2</v>
      </c>
      <c r="R14" s="10">
        <v>0</v>
      </c>
      <c r="S14" s="10">
        <v>0</v>
      </c>
    </row>
    <row r="15" spans="1:19" s="42" customFormat="1" ht="15.75" customHeight="1">
      <c r="A15" s="589"/>
      <c r="B15" s="493"/>
      <c r="C15" s="143" t="s">
        <v>784</v>
      </c>
      <c r="D15" s="31">
        <v>22</v>
      </c>
      <c r="E15" s="31">
        <v>50</v>
      </c>
      <c r="F15" s="31">
        <v>0</v>
      </c>
      <c r="G15" s="31">
        <v>0</v>
      </c>
      <c r="H15" s="31">
        <v>0</v>
      </c>
      <c r="I15" s="31">
        <v>0</v>
      </c>
      <c r="J15" s="31">
        <v>1</v>
      </c>
      <c r="K15" s="31">
        <v>1</v>
      </c>
      <c r="L15" s="31">
        <v>6</v>
      </c>
      <c r="M15" s="31">
        <v>10</v>
      </c>
      <c r="N15" s="31">
        <v>3</v>
      </c>
      <c r="O15" s="262">
        <v>1</v>
      </c>
      <c r="P15" s="31">
        <v>21</v>
      </c>
      <c r="Q15" s="262">
        <v>1</v>
      </c>
      <c r="R15" s="31">
        <v>0</v>
      </c>
      <c r="S15" s="31">
        <v>0</v>
      </c>
    </row>
    <row r="16" spans="1:19" s="42" customFormat="1" ht="1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</row>
    <row r="17" spans="1:19" s="42" customFormat="1" ht="15" customHeight="1">
      <c r="A17" s="85"/>
      <c r="B17" s="85" t="s">
        <v>728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</row>
    <row r="18" spans="1:19" s="42" customFormat="1" ht="15" customHeight="1">
      <c r="A18" s="85"/>
      <c r="B18" s="85" t="s">
        <v>748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9" s="42" customFormat="1" ht="15" customHeight="1">
      <c r="A19" s="85"/>
      <c r="B19" s="85" t="s">
        <v>729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1:19" s="42" customFormat="1" ht="1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1:19" s="42" customFormat="1" ht="1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19" s="42" customFormat="1" ht="1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</row>
    <row r="23" spans="1:19" s="42" customFormat="1" ht="1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19" s="42" customFormat="1" ht="1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</row>
    <row r="25" spans="1:19" s="42" customFormat="1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="42" customFormat="1" ht="15" customHeight="1"/>
    <row r="27" spans="1:19" s="42" customFormat="1" ht="1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:19" s="42" customFormat="1" ht="1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1:19" s="42" customFormat="1" ht="1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s="42" customFormat="1" ht="1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spans="1:19" s="42" customFormat="1" ht="1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="42" customFormat="1" ht="17.25" customHeight="1"/>
    <row r="33" spans="1:19" s="42" customFormat="1" ht="1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s="42" customFormat="1" ht="1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</row>
    <row r="35" spans="1:19" s="42" customFormat="1" ht="1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="42" customFormat="1" ht="15" customHeight="1">
      <c r="T36" s="99"/>
    </row>
    <row r="37" spans="1:20" s="42" customFormat="1" ht="1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99"/>
    </row>
    <row r="38" s="42" customFormat="1" ht="15" customHeight="1"/>
    <row r="39" s="42" customFormat="1" ht="15" customHeight="1"/>
    <row r="44" ht="15.75">
      <c r="A44" s="329"/>
    </row>
    <row r="48" spans="1:19" ht="15.75">
      <c r="A48" s="573" t="str">
        <f>"- "&amp;Sheet1!B36&amp;" -"</f>
        <v>- 236 -</v>
      </c>
      <c r="B48" s="573"/>
      <c r="C48" s="573"/>
      <c r="D48" s="573"/>
      <c r="E48" s="573"/>
      <c r="F48" s="573"/>
      <c r="G48" s="573"/>
      <c r="H48" s="573"/>
      <c r="I48" s="573"/>
      <c r="J48" s="573"/>
      <c r="K48" s="573" t="str">
        <f>"- "&amp;Sheet1!C36&amp;" -"</f>
        <v>- 237 -</v>
      </c>
      <c r="L48" s="573"/>
      <c r="M48" s="573"/>
      <c r="N48" s="573"/>
      <c r="O48" s="573"/>
      <c r="P48" s="573"/>
      <c r="Q48" s="573"/>
      <c r="R48" s="573"/>
      <c r="S48" s="573"/>
    </row>
  </sheetData>
  <sheetProtection/>
  <mergeCells count="15">
    <mergeCell ref="K5:O5"/>
    <mergeCell ref="A10:B12"/>
    <mergeCell ref="A13:B15"/>
    <mergeCell ref="A48:J48"/>
    <mergeCell ref="K48:S48"/>
    <mergeCell ref="A7:B9"/>
    <mergeCell ref="A1:J1"/>
    <mergeCell ref="K1:S1"/>
    <mergeCell ref="A5:C6"/>
    <mergeCell ref="D5:D6"/>
    <mergeCell ref="E5:E6"/>
    <mergeCell ref="C3:I3"/>
    <mergeCell ref="L3:R3"/>
    <mergeCell ref="F5:J5"/>
    <mergeCell ref="P5:S5"/>
  </mergeCells>
  <printOptions/>
  <pageMargins left="0.7" right="0.7" top="0.75" bottom="0.010416666666666666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R51"/>
  <sheetViews>
    <sheetView view="pageLayout" zoomScaleSheetLayoutView="85" workbookViewId="0" topLeftCell="A31">
      <selection activeCell="A51" sqref="A51:J51"/>
    </sheetView>
  </sheetViews>
  <sheetFormatPr defaultColWidth="9.00390625" defaultRowHeight="16.5"/>
  <cols>
    <col min="1" max="1" width="4.625" style="85" customWidth="1"/>
    <col min="2" max="2" width="6.875" style="85" customWidth="1"/>
    <col min="3" max="3" width="9.875" style="85" customWidth="1"/>
    <col min="4" max="10" width="9.625" style="85" customWidth="1"/>
    <col min="11" max="14" width="8.50390625" style="85" customWidth="1"/>
    <col min="15" max="15" width="9.0039062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125" style="85" customWidth="1"/>
    <col min="20" max="16384" width="9.00390625" style="85" customWidth="1"/>
  </cols>
  <sheetData>
    <row r="1" spans="1:19" s="98" customFormat="1" ht="21.75" customHeight="1">
      <c r="A1" s="505" t="s">
        <v>993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229</v>
      </c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33"/>
      <c r="B2" s="33"/>
      <c r="C2" s="33"/>
      <c r="D2" s="33"/>
      <c r="E2" s="33"/>
      <c r="F2" s="33"/>
      <c r="G2" s="33"/>
      <c r="H2" s="33"/>
      <c r="I2" s="33"/>
      <c r="J2" s="2"/>
      <c r="K2" s="2"/>
      <c r="L2" s="33"/>
      <c r="M2" s="33"/>
      <c r="N2" s="33"/>
      <c r="O2" s="33"/>
      <c r="P2" s="33"/>
      <c r="Q2" s="33"/>
      <c r="R2" s="33"/>
      <c r="S2" s="33"/>
    </row>
    <row r="3" spans="1:19" s="97" customFormat="1" ht="15" customHeight="1">
      <c r="A3" s="66"/>
      <c r="B3" s="66"/>
      <c r="C3" s="460" t="s">
        <v>489</v>
      </c>
      <c r="D3" s="461"/>
      <c r="E3" s="461"/>
      <c r="F3" s="461"/>
      <c r="G3" s="461"/>
      <c r="H3" s="461"/>
      <c r="I3" s="461"/>
      <c r="J3" s="4" t="s">
        <v>698</v>
      </c>
      <c r="K3" s="5"/>
      <c r="L3" s="595" t="s">
        <v>157</v>
      </c>
      <c r="M3" s="595"/>
      <c r="N3" s="595"/>
      <c r="O3" s="595"/>
      <c r="P3" s="595"/>
      <c r="Q3" s="595"/>
      <c r="R3" s="595"/>
      <c r="S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710</v>
      </c>
      <c r="E5" s="507" t="s">
        <v>707</v>
      </c>
      <c r="F5" s="495" t="s">
        <v>938</v>
      </c>
      <c r="G5" s="596"/>
      <c r="H5" s="596"/>
      <c r="I5" s="596"/>
      <c r="J5" s="596"/>
      <c r="K5" s="487" t="s">
        <v>667</v>
      </c>
      <c r="L5" s="596"/>
      <c r="M5" s="596"/>
      <c r="N5" s="596"/>
      <c r="O5" s="597"/>
      <c r="P5" s="495" t="s">
        <v>932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327" t="s">
        <v>789</v>
      </c>
      <c r="K6" s="52" t="s">
        <v>790</v>
      </c>
      <c r="L6" s="52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937</v>
      </c>
      <c r="S6" s="120" t="s">
        <v>711</v>
      </c>
    </row>
    <row r="7" spans="1:20" s="93" customFormat="1" ht="13.5" customHeight="1">
      <c r="A7" s="532" t="s">
        <v>670</v>
      </c>
      <c r="B7" s="491"/>
      <c r="C7" s="141" t="s">
        <v>702</v>
      </c>
      <c r="D7" s="130">
        <f>SUM(D34,D10,'表36(續1)'!D28,'表36(續2)'!D25,'表36(續3)'!D22)</f>
        <v>4079</v>
      </c>
      <c r="E7" s="131">
        <v>45</v>
      </c>
      <c r="F7" s="139">
        <v>0</v>
      </c>
      <c r="G7" s="139">
        <f>SUM(G10,G34,'表36(續1)'!G28,'表36(續2)'!G25,'表36(續3)'!G22)</f>
        <v>7</v>
      </c>
      <c r="H7" s="139">
        <f>SUM(H10,H34,'表36(續1)'!H28,'表36(續2)'!H25,'表36(續3)'!H22)</f>
        <v>118</v>
      </c>
      <c r="I7" s="139">
        <f>SUM(I10,I34,'表36(續1)'!I28,'表36(續2)'!I25,'表36(續3)'!I22)</f>
        <v>296</v>
      </c>
      <c r="J7" s="139">
        <f>SUM(J10,J34,'表36(續1)'!J28,'表36(續2)'!J25,'表36(續3)'!J22)</f>
        <v>603</v>
      </c>
      <c r="K7" s="139">
        <f>SUM(K10,K34,'表36(續1)'!K28,'表36(續2)'!K25,'表36(續3)'!K22)</f>
        <v>832</v>
      </c>
      <c r="L7" s="139">
        <f>SUM(L10,L34,'表36(續1)'!L28,'表36(續2)'!L25,'表36(續3)'!L22)</f>
        <v>1044</v>
      </c>
      <c r="M7" s="139">
        <f>SUM(M10,M34,'表36(續1)'!M28,'表36(續2)'!M25,'表36(續3)'!M22)</f>
        <v>769</v>
      </c>
      <c r="N7" s="139">
        <f>SUM(N10,N34,'表36(續1)'!N28,'表36(續2)'!N25,'表36(續3)'!N22)</f>
        <v>325</v>
      </c>
      <c r="O7" s="139">
        <f>SUM(O10,O34,'表36(續1)'!O28,'表36(續2)'!O25,'表36(續3)'!O22)</f>
        <v>85</v>
      </c>
      <c r="P7" s="139">
        <f>SUM(P10,P34,'表36(續1)'!P28,'表36(續2)'!P25,'表36(續3)'!P22)</f>
        <v>972</v>
      </c>
      <c r="Q7" s="139">
        <f>SUM(Q10,Q34,'表36(續1)'!Q28,'表36(續2)'!Q25,'表36(續3)'!Q22)</f>
        <v>2880</v>
      </c>
      <c r="R7" s="139">
        <f>SUM(R10,R34,'表36(續1)'!R28,'表36(續2)'!R25,'表36(續3)'!R22)</f>
        <v>225</v>
      </c>
      <c r="S7" s="139">
        <f>SUM(S10,S34,'表36(續1)'!S28,'表36(續2)'!S25,'表36(續3)'!S22)</f>
        <v>2</v>
      </c>
      <c r="T7" s="94"/>
    </row>
    <row r="8" spans="1:19" s="93" customFormat="1" ht="13.5" customHeight="1">
      <c r="A8" s="533"/>
      <c r="B8" s="492"/>
      <c r="C8" s="143" t="s">
        <v>703</v>
      </c>
      <c r="D8" s="10">
        <f>SUM(D11,D35,'表36(續1)'!D29,'表36(續2)'!D26,'表36(續3)'!D23)</f>
        <v>1911</v>
      </c>
      <c r="E8" s="10">
        <v>47</v>
      </c>
      <c r="F8" s="10">
        <f>SUM(F11,F35,'表36(續1)'!F29,'表36(續2)'!F26,'表36(續3)'!F23)</f>
        <v>0</v>
      </c>
      <c r="G8" s="10">
        <f>SUM(G11,G35,'表36(續1)'!G29,'表36(續2)'!G26,'表36(續3)'!G23)</f>
        <v>1</v>
      </c>
      <c r="H8" s="10">
        <f>SUM(H11,H35,'表36(續1)'!H29,'表36(續2)'!H26,'表36(續3)'!H23)</f>
        <v>19</v>
      </c>
      <c r="I8" s="10">
        <f>SUM(I11,I35,'表36(續1)'!I29,'表36(續2)'!I26,'表36(續3)'!I23)</f>
        <v>89</v>
      </c>
      <c r="J8" s="10">
        <f>SUM(J11,J35,'表36(續1)'!J29,'表36(續2)'!J26,'表36(續3)'!J23)</f>
        <v>228</v>
      </c>
      <c r="K8" s="10">
        <f>SUM(K11,K35,'表36(續1)'!K29,'表36(續2)'!K26,'表36(續3)'!K23)</f>
        <v>351</v>
      </c>
      <c r="L8" s="10">
        <f>SUM(L11,L35,'表36(續1)'!L29,'表36(續2)'!L26,'表36(續3)'!L23)</f>
        <v>474</v>
      </c>
      <c r="M8" s="10">
        <f>SUM(M11,M35,'表36(續1)'!M29,'表36(續2)'!M26,'表36(續3)'!M23)</f>
        <v>455</v>
      </c>
      <c r="N8" s="10">
        <f>SUM(N11,N35,'表36(續1)'!N29,'表36(續2)'!N26,'表36(續3)'!N23)</f>
        <v>225</v>
      </c>
      <c r="O8" s="10">
        <f>SUM(O11,O35,'表36(續1)'!O29,'表36(續2)'!O26,'表36(續3)'!O23)</f>
        <v>69</v>
      </c>
      <c r="P8" s="10">
        <f>SUM(P11,P35,'表36(續1)'!P29,'表36(續2)'!P26,'表36(續3)'!P23)</f>
        <v>606</v>
      </c>
      <c r="Q8" s="10">
        <f>SUM(Q11,Q35,'表36(續1)'!Q29,'表36(續2)'!Q26,'表36(續3)'!Q23)</f>
        <v>1197</v>
      </c>
      <c r="R8" s="10">
        <f>SUM(R11,R35,'表36(續1)'!R29,'表36(續2)'!R26,'表36(續3)'!R23)</f>
        <v>107</v>
      </c>
      <c r="S8" s="10">
        <f>SUM(S11,S35,'表36(續1)'!S29,'表36(續2)'!S26,'表36(續3)'!S23)</f>
        <v>1</v>
      </c>
    </row>
    <row r="9" spans="1:19" s="93" customFormat="1" ht="13.5" customHeight="1">
      <c r="A9" s="533"/>
      <c r="B9" s="492"/>
      <c r="C9" s="143" t="s">
        <v>704</v>
      </c>
      <c r="D9" s="10">
        <f>SUM(D12,D36,'表36(續1)'!D30,'表36(續2)'!D27,'表36(續3)'!D24)</f>
        <v>2168</v>
      </c>
      <c r="E9" s="10">
        <v>43</v>
      </c>
      <c r="F9" s="10">
        <f>SUM(F12,F36,'表36(續1)'!F30,'表36(續2)'!F27,'表36(續3)'!F24)</f>
        <v>0</v>
      </c>
      <c r="G9" s="10">
        <f>SUM(G12,G36,'表36(續1)'!G30,'表36(續2)'!G27,'表36(續3)'!G24)</f>
        <v>6</v>
      </c>
      <c r="H9" s="10">
        <f>SUM(H12,H36,'表36(續1)'!H30,'表36(續2)'!H27,'表36(續3)'!H24)</f>
        <v>99</v>
      </c>
      <c r="I9" s="10">
        <f>SUM(I12,I36,'表36(續1)'!I30,'表36(續2)'!I27,'表36(續3)'!I24)</f>
        <v>207</v>
      </c>
      <c r="J9" s="10">
        <f>SUM(J12,J36,'表36(續1)'!J30,'表36(續2)'!J27,'表36(續3)'!J24)</f>
        <v>375</v>
      </c>
      <c r="K9" s="10">
        <f>SUM(K12,K36,'表36(續1)'!K30,'表36(續2)'!K27,'表36(續3)'!K24)</f>
        <v>481</v>
      </c>
      <c r="L9" s="10">
        <f>SUM(L12,L36,'表36(續1)'!L30,'表36(續2)'!L27,'表36(續3)'!L24)</f>
        <v>570</v>
      </c>
      <c r="M9" s="10">
        <f>SUM(M12,M36,'表36(續1)'!M30,'表36(續2)'!M27,'表36(續3)'!M24)</f>
        <v>314</v>
      </c>
      <c r="N9" s="10">
        <f>SUM(N12,N36,'表36(續1)'!N30,'表36(續2)'!N27,'表36(續3)'!N24)</f>
        <v>100</v>
      </c>
      <c r="O9" s="10">
        <f>SUM(O12,O36,'表36(續1)'!O30,'表36(續2)'!O27,'表36(續3)'!O24)</f>
        <v>16</v>
      </c>
      <c r="P9" s="10">
        <f>SUM(P12,P36,'表36(續1)'!P30,'表36(續2)'!P27,'表36(續3)'!P24)</f>
        <v>366</v>
      </c>
      <c r="Q9" s="10">
        <f>SUM(Q12,Q36,'表36(續1)'!Q30,'表36(續2)'!Q27,'表36(續3)'!Q24)</f>
        <v>1683</v>
      </c>
      <c r="R9" s="10">
        <f>SUM(R12,R36,'表36(續1)'!R30,'表36(續2)'!R27,'表36(續3)'!R24)</f>
        <v>118</v>
      </c>
      <c r="S9" s="10">
        <f>SUM(S12,S36,'表36(續1)'!S30,'表36(續2)'!S27,'表36(續3)'!S24)</f>
        <v>1</v>
      </c>
    </row>
    <row r="10" spans="1:19" s="93" customFormat="1" ht="13.5" customHeight="1">
      <c r="A10" s="524" t="s">
        <v>598</v>
      </c>
      <c r="B10" s="534" t="s">
        <v>580</v>
      </c>
      <c r="C10" s="234" t="s">
        <v>702</v>
      </c>
      <c r="D10" s="140">
        <f>SUM(D13,D16,D19,D22,D25,D28,D31)</f>
        <v>438</v>
      </c>
      <c r="E10" s="56">
        <v>52</v>
      </c>
      <c r="F10" s="56">
        <v>0</v>
      </c>
      <c r="G10" s="56">
        <v>0</v>
      </c>
      <c r="H10" s="56">
        <v>0</v>
      </c>
      <c r="I10" s="56">
        <v>0</v>
      </c>
      <c r="J10" s="56">
        <v>2</v>
      </c>
      <c r="K10" s="56">
        <v>24</v>
      </c>
      <c r="L10" s="56">
        <v>118</v>
      </c>
      <c r="M10" s="56">
        <v>143</v>
      </c>
      <c r="N10" s="56">
        <v>122</v>
      </c>
      <c r="O10" s="56">
        <v>29</v>
      </c>
      <c r="P10" s="56">
        <v>267</v>
      </c>
      <c r="Q10" s="56">
        <v>170</v>
      </c>
      <c r="R10" s="56">
        <v>1</v>
      </c>
      <c r="S10" s="56">
        <v>0</v>
      </c>
    </row>
    <row r="11" spans="1:19" s="93" customFormat="1" ht="13.5" customHeight="1">
      <c r="A11" s="525"/>
      <c r="B11" s="516"/>
      <c r="C11" s="124" t="s">
        <v>703</v>
      </c>
      <c r="D11" s="24">
        <f>SUM(D14,D17,D20,D23,D26,D29,D32)</f>
        <v>340</v>
      </c>
      <c r="E11" s="10">
        <v>53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7</v>
      </c>
      <c r="L11" s="10">
        <v>79</v>
      </c>
      <c r="M11" s="10">
        <v>119</v>
      </c>
      <c r="N11" s="10">
        <v>105</v>
      </c>
      <c r="O11" s="10">
        <v>29</v>
      </c>
      <c r="P11" s="10">
        <v>213</v>
      </c>
      <c r="Q11" s="10">
        <v>126</v>
      </c>
      <c r="R11" s="10">
        <v>1</v>
      </c>
      <c r="S11" s="10">
        <v>0</v>
      </c>
    </row>
    <row r="12" spans="1:19" s="93" customFormat="1" ht="13.5" customHeight="1">
      <c r="A12" s="525"/>
      <c r="B12" s="517"/>
      <c r="C12" s="235" t="s">
        <v>704</v>
      </c>
      <c r="D12" s="24">
        <f>SUM(D15,D18,D21,D24,D27,D30,D33)</f>
        <v>98</v>
      </c>
      <c r="E12" s="10">
        <v>49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17</v>
      </c>
      <c r="L12" s="10">
        <v>39</v>
      </c>
      <c r="M12" s="10">
        <v>24</v>
      </c>
      <c r="N12" s="10">
        <v>17</v>
      </c>
      <c r="O12" s="10">
        <v>0</v>
      </c>
      <c r="P12" s="10">
        <v>54</v>
      </c>
      <c r="Q12" s="10">
        <v>44</v>
      </c>
      <c r="R12" s="10">
        <v>0</v>
      </c>
      <c r="S12" s="10">
        <v>0</v>
      </c>
    </row>
    <row r="13" spans="1:19" s="93" customFormat="1" ht="13.5" customHeight="1">
      <c r="A13" s="525"/>
      <c r="B13" s="491" t="s">
        <v>519</v>
      </c>
      <c r="C13" s="234" t="s">
        <v>702</v>
      </c>
      <c r="D13" s="54">
        <v>21</v>
      </c>
      <c r="E13" s="55">
        <v>53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1</v>
      </c>
      <c r="L13" s="55">
        <v>7</v>
      </c>
      <c r="M13" s="55">
        <v>4</v>
      </c>
      <c r="N13" s="55">
        <v>5</v>
      </c>
      <c r="O13" s="55">
        <v>4</v>
      </c>
      <c r="P13" s="55">
        <v>14</v>
      </c>
      <c r="Q13" s="55">
        <v>7</v>
      </c>
      <c r="R13" s="55">
        <v>0</v>
      </c>
      <c r="S13" s="55">
        <v>0</v>
      </c>
    </row>
    <row r="14" spans="1:19" s="93" customFormat="1" ht="13.5" customHeight="1">
      <c r="A14" s="525"/>
      <c r="B14" s="492"/>
      <c r="C14" s="124" t="s">
        <v>703</v>
      </c>
      <c r="D14" s="24">
        <v>19</v>
      </c>
      <c r="E14" s="10">
        <v>54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5</v>
      </c>
      <c r="M14" s="10">
        <v>4</v>
      </c>
      <c r="N14" s="10">
        <v>5</v>
      </c>
      <c r="O14" s="10">
        <v>4</v>
      </c>
      <c r="P14" s="10">
        <v>13</v>
      </c>
      <c r="Q14" s="10">
        <v>6</v>
      </c>
      <c r="R14" s="10">
        <v>0</v>
      </c>
      <c r="S14" s="10">
        <v>0</v>
      </c>
    </row>
    <row r="15" spans="1:19" s="93" customFormat="1" ht="13.5" customHeight="1">
      <c r="A15" s="525"/>
      <c r="B15" s="493"/>
      <c r="C15" s="235" t="s">
        <v>704</v>
      </c>
      <c r="D15" s="24">
        <v>2</v>
      </c>
      <c r="E15" s="10">
        <v>47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2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</row>
    <row r="16" spans="1:19" s="93" customFormat="1" ht="13.5" customHeight="1">
      <c r="A16" s="525"/>
      <c r="B16" s="492" t="s">
        <v>520</v>
      </c>
      <c r="C16" s="234" t="s">
        <v>702</v>
      </c>
      <c r="D16" s="54">
        <v>24</v>
      </c>
      <c r="E16" s="55">
        <v>53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9</v>
      </c>
      <c r="M16" s="55">
        <v>8</v>
      </c>
      <c r="N16" s="55">
        <v>3</v>
      </c>
      <c r="O16" s="55">
        <v>4</v>
      </c>
      <c r="P16" s="55">
        <v>12</v>
      </c>
      <c r="Q16" s="55">
        <v>12</v>
      </c>
      <c r="R16" s="55">
        <v>0</v>
      </c>
      <c r="S16" s="55">
        <v>0</v>
      </c>
    </row>
    <row r="17" spans="1:19" s="93" customFormat="1" ht="13.5" customHeight="1">
      <c r="A17" s="525"/>
      <c r="B17" s="492"/>
      <c r="C17" s="124" t="s">
        <v>703</v>
      </c>
      <c r="D17" s="24">
        <v>19</v>
      </c>
      <c r="E17" s="10">
        <v>54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4</v>
      </c>
      <c r="M17" s="10">
        <v>8</v>
      </c>
      <c r="N17" s="10">
        <v>3</v>
      </c>
      <c r="O17" s="10">
        <v>4</v>
      </c>
      <c r="P17" s="10">
        <v>9</v>
      </c>
      <c r="Q17" s="10">
        <v>10</v>
      </c>
      <c r="R17" s="10">
        <v>0</v>
      </c>
      <c r="S17" s="10">
        <v>0</v>
      </c>
    </row>
    <row r="18" spans="1:19" s="93" customFormat="1" ht="13.5" customHeight="1">
      <c r="A18" s="525"/>
      <c r="B18" s="492"/>
      <c r="C18" s="235" t="s">
        <v>704</v>
      </c>
      <c r="D18" s="24">
        <v>5</v>
      </c>
      <c r="E18" s="10">
        <v>48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5</v>
      </c>
      <c r="M18" s="10">
        <v>0</v>
      </c>
      <c r="N18" s="10">
        <v>0</v>
      </c>
      <c r="O18" s="10">
        <v>0</v>
      </c>
      <c r="P18" s="10">
        <v>3</v>
      </c>
      <c r="Q18" s="10">
        <v>2</v>
      </c>
      <c r="R18" s="10">
        <v>0</v>
      </c>
      <c r="S18" s="10">
        <v>0</v>
      </c>
    </row>
    <row r="19" spans="1:19" s="93" customFormat="1" ht="13.5" customHeight="1">
      <c r="A19" s="525"/>
      <c r="B19" s="491" t="s">
        <v>521</v>
      </c>
      <c r="C19" s="234" t="s">
        <v>702</v>
      </c>
      <c r="D19" s="54">
        <v>17</v>
      </c>
      <c r="E19" s="55">
        <v>53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4</v>
      </c>
      <c r="M19" s="55">
        <v>6</v>
      </c>
      <c r="N19" s="55">
        <v>6</v>
      </c>
      <c r="O19" s="55">
        <v>1</v>
      </c>
      <c r="P19" s="55">
        <v>10</v>
      </c>
      <c r="Q19" s="55">
        <v>7</v>
      </c>
      <c r="R19" s="55">
        <v>0</v>
      </c>
      <c r="S19" s="55">
        <v>0</v>
      </c>
    </row>
    <row r="20" spans="1:19" s="93" customFormat="1" ht="14.25" customHeight="1">
      <c r="A20" s="525"/>
      <c r="B20" s="492"/>
      <c r="C20" s="124" t="s">
        <v>703</v>
      </c>
      <c r="D20" s="24">
        <v>14</v>
      </c>
      <c r="E20" s="10">
        <v>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</v>
      </c>
      <c r="M20" s="10">
        <v>5</v>
      </c>
      <c r="N20" s="10">
        <v>6</v>
      </c>
      <c r="O20" s="10">
        <v>1</v>
      </c>
      <c r="P20" s="10">
        <v>8</v>
      </c>
      <c r="Q20" s="10">
        <v>6</v>
      </c>
      <c r="R20" s="10">
        <v>0</v>
      </c>
      <c r="S20" s="10">
        <v>0</v>
      </c>
    </row>
    <row r="21" spans="1:19" s="93" customFormat="1" ht="14.25">
      <c r="A21" s="525"/>
      <c r="B21" s="493"/>
      <c r="C21" s="235" t="s">
        <v>704</v>
      </c>
      <c r="D21" s="24">
        <v>3</v>
      </c>
      <c r="E21" s="10">
        <v>49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2</v>
      </c>
      <c r="M21" s="10">
        <v>1</v>
      </c>
      <c r="N21" s="10">
        <v>0</v>
      </c>
      <c r="O21" s="10">
        <v>0</v>
      </c>
      <c r="P21" s="10">
        <v>2</v>
      </c>
      <c r="Q21" s="10">
        <v>1</v>
      </c>
      <c r="R21" s="10">
        <v>0</v>
      </c>
      <c r="S21" s="10">
        <v>0</v>
      </c>
    </row>
    <row r="22" spans="1:19" s="93" customFormat="1" ht="14.25">
      <c r="A22" s="522" t="s">
        <v>599</v>
      </c>
      <c r="B22" s="492" t="s">
        <v>522</v>
      </c>
      <c r="C22" s="234" t="s">
        <v>702</v>
      </c>
      <c r="D22" s="54">
        <v>127</v>
      </c>
      <c r="E22" s="55">
        <v>52</v>
      </c>
      <c r="F22" s="55">
        <v>0</v>
      </c>
      <c r="G22" s="55">
        <v>0</v>
      </c>
      <c r="H22" s="55">
        <v>0</v>
      </c>
      <c r="I22" s="55">
        <v>0</v>
      </c>
      <c r="J22" s="55">
        <v>1</v>
      </c>
      <c r="K22" s="55">
        <v>10</v>
      </c>
      <c r="L22" s="55">
        <v>39</v>
      </c>
      <c r="M22" s="55">
        <v>34</v>
      </c>
      <c r="N22" s="55">
        <v>37</v>
      </c>
      <c r="O22" s="55">
        <v>6</v>
      </c>
      <c r="P22" s="55">
        <v>78</v>
      </c>
      <c r="Q22" s="55">
        <v>49</v>
      </c>
      <c r="R22" s="55">
        <v>0</v>
      </c>
      <c r="S22" s="55">
        <v>0</v>
      </c>
    </row>
    <row r="23" spans="1:19" s="93" customFormat="1" ht="14.25">
      <c r="A23" s="522"/>
      <c r="B23" s="492"/>
      <c r="C23" s="124" t="s">
        <v>703</v>
      </c>
      <c r="D23" s="24">
        <v>101</v>
      </c>
      <c r="E23" s="10">
        <v>53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3</v>
      </c>
      <c r="L23" s="10">
        <v>29</v>
      </c>
      <c r="M23" s="10">
        <v>30</v>
      </c>
      <c r="N23" s="10">
        <v>33</v>
      </c>
      <c r="O23" s="10">
        <v>6</v>
      </c>
      <c r="P23" s="10">
        <v>62</v>
      </c>
      <c r="Q23" s="10">
        <v>39</v>
      </c>
      <c r="R23" s="10">
        <v>0</v>
      </c>
      <c r="S23" s="10">
        <v>0</v>
      </c>
    </row>
    <row r="24" spans="1:19" s="93" customFormat="1" ht="14.25">
      <c r="A24" s="522"/>
      <c r="B24" s="492"/>
      <c r="C24" s="235" t="s">
        <v>704</v>
      </c>
      <c r="D24" s="24">
        <v>26</v>
      </c>
      <c r="E24" s="10">
        <v>48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7</v>
      </c>
      <c r="L24" s="10">
        <v>10</v>
      </c>
      <c r="M24" s="10">
        <v>4</v>
      </c>
      <c r="N24" s="10">
        <v>4</v>
      </c>
      <c r="O24" s="10">
        <v>0</v>
      </c>
      <c r="P24" s="10">
        <v>16</v>
      </c>
      <c r="Q24" s="10">
        <v>10</v>
      </c>
      <c r="R24" s="10">
        <v>0</v>
      </c>
      <c r="S24" s="10">
        <v>0</v>
      </c>
    </row>
    <row r="25" spans="1:19" s="93" customFormat="1" ht="14.25">
      <c r="A25" s="522"/>
      <c r="B25" s="491" t="s">
        <v>532</v>
      </c>
      <c r="C25" s="234" t="s">
        <v>702</v>
      </c>
      <c r="D25" s="54">
        <v>103</v>
      </c>
      <c r="E25" s="55">
        <v>52</v>
      </c>
      <c r="F25" s="55">
        <v>0</v>
      </c>
      <c r="G25" s="55">
        <v>0</v>
      </c>
      <c r="H25" s="55">
        <v>0</v>
      </c>
      <c r="I25" s="55">
        <v>0</v>
      </c>
      <c r="J25" s="55">
        <v>1</v>
      </c>
      <c r="K25" s="55">
        <v>5</v>
      </c>
      <c r="L25" s="55">
        <v>28</v>
      </c>
      <c r="M25" s="55">
        <v>38</v>
      </c>
      <c r="N25" s="55">
        <v>28</v>
      </c>
      <c r="O25" s="55">
        <v>3</v>
      </c>
      <c r="P25" s="55">
        <v>62</v>
      </c>
      <c r="Q25" s="55">
        <v>40</v>
      </c>
      <c r="R25" s="55">
        <v>1</v>
      </c>
      <c r="S25" s="55">
        <v>0</v>
      </c>
    </row>
    <row r="26" spans="1:19" s="93" customFormat="1" ht="14.25">
      <c r="A26" s="522"/>
      <c r="B26" s="492"/>
      <c r="C26" s="124" t="s">
        <v>703</v>
      </c>
      <c r="D26" s="24">
        <v>83</v>
      </c>
      <c r="E26" s="10">
        <v>53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10">
        <v>1</v>
      </c>
      <c r="L26" s="10">
        <v>21</v>
      </c>
      <c r="M26" s="10">
        <v>32</v>
      </c>
      <c r="N26" s="10">
        <v>25</v>
      </c>
      <c r="O26" s="10">
        <v>3</v>
      </c>
      <c r="P26" s="10">
        <v>53</v>
      </c>
      <c r="Q26" s="10">
        <v>29</v>
      </c>
      <c r="R26" s="10">
        <v>1</v>
      </c>
      <c r="S26" s="10">
        <v>0</v>
      </c>
    </row>
    <row r="27" spans="1:19" s="93" customFormat="1" ht="14.25">
      <c r="A27" s="522"/>
      <c r="B27" s="493"/>
      <c r="C27" s="235" t="s">
        <v>704</v>
      </c>
      <c r="D27" s="24">
        <v>20</v>
      </c>
      <c r="E27" s="10">
        <v>50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4</v>
      </c>
      <c r="L27" s="10">
        <v>7</v>
      </c>
      <c r="M27" s="10">
        <v>6</v>
      </c>
      <c r="N27" s="10">
        <v>3</v>
      </c>
      <c r="O27" s="10">
        <v>0</v>
      </c>
      <c r="P27" s="10">
        <v>9</v>
      </c>
      <c r="Q27" s="10">
        <v>11</v>
      </c>
      <c r="R27" s="10">
        <v>0</v>
      </c>
      <c r="S27" s="10">
        <v>0</v>
      </c>
    </row>
    <row r="28" spans="1:19" s="93" customFormat="1" ht="14.25">
      <c r="A28" s="522"/>
      <c r="B28" s="491" t="s">
        <v>533</v>
      </c>
      <c r="C28" s="234" t="s">
        <v>702</v>
      </c>
      <c r="D28" s="54">
        <v>80</v>
      </c>
      <c r="E28" s="55">
        <v>51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5</v>
      </c>
      <c r="L28" s="55">
        <v>21</v>
      </c>
      <c r="M28" s="55">
        <v>35</v>
      </c>
      <c r="N28" s="55">
        <v>15</v>
      </c>
      <c r="O28" s="55">
        <v>4</v>
      </c>
      <c r="P28" s="55">
        <v>51</v>
      </c>
      <c r="Q28" s="55">
        <v>29</v>
      </c>
      <c r="R28" s="55">
        <v>0</v>
      </c>
      <c r="S28" s="55">
        <v>0</v>
      </c>
    </row>
    <row r="29" spans="1:19" s="93" customFormat="1" ht="14.25">
      <c r="A29" s="522"/>
      <c r="B29" s="492"/>
      <c r="C29" s="124" t="s">
        <v>703</v>
      </c>
      <c r="D29" s="24">
        <v>57</v>
      </c>
      <c r="E29" s="10">
        <v>52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13</v>
      </c>
      <c r="M29" s="10">
        <v>29</v>
      </c>
      <c r="N29" s="10">
        <v>10</v>
      </c>
      <c r="O29" s="10">
        <v>4</v>
      </c>
      <c r="P29" s="10">
        <v>39</v>
      </c>
      <c r="Q29" s="10">
        <v>18</v>
      </c>
      <c r="R29" s="10">
        <v>0</v>
      </c>
      <c r="S29" s="10">
        <v>0</v>
      </c>
    </row>
    <row r="30" spans="1:19" s="93" customFormat="1" ht="14.25">
      <c r="A30" s="522"/>
      <c r="B30" s="493"/>
      <c r="C30" s="235" t="s">
        <v>704</v>
      </c>
      <c r="D30" s="24">
        <v>23</v>
      </c>
      <c r="E30" s="10">
        <v>49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4</v>
      </c>
      <c r="L30" s="10">
        <v>8</v>
      </c>
      <c r="M30" s="10">
        <v>6</v>
      </c>
      <c r="N30" s="10">
        <v>5</v>
      </c>
      <c r="O30" s="10">
        <v>0</v>
      </c>
      <c r="P30" s="10">
        <v>12</v>
      </c>
      <c r="Q30" s="10">
        <v>11</v>
      </c>
      <c r="R30" s="10">
        <v>0</v>
      </c>
      <c r="S30" s="10">
        <v>0</v>
      </c>
    </row>
    <row r="31" spans="1:19" s="93" customFormat="1" ht="15.75" customHeight="1">
      <c r="A31" s="522"/>
      <c r="B31" s="491" t="s">
        <v>534</v>
      </c>
      <c r="C31" s="234" t="s">
        <v>702</v>
      </c>
      <c r="D31" s="54">
        <v>66</v>
      </c>
      <c r="E31" s="55">
        <v>54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3</v>
      </c>
      <c r="L31" s="55">
        <v>10</v>
      </c>
      <c r="M31" s="55">
        <v>18</v>
      </c>
      <c r="N31" s="55">
        <v>28</v>
      </c>
      <c r="O31" s="55">
        <v>7</v>
      </c>
      <c r="P31" s="55">
        <v>40</v>
      </c>
      <c r="Q31" s="55">
        <v>26</v>
      </c>
      <c r="R31" s="55">
        <v>0</v>
      </c>
      <c r="S31" s="55">
        <v>0</v>
      </c>
    </row>
    <row r="32" spans="1:19" s="93" customFormat="1" ht="15.75" customHeight="1">
      <c r="A32" s="522"/>
      <c r="B32" s="492"/>
      <c r="C32" s="124" t="s">
        <v>703</v>
      </c>
      <c r="D32" s="24">
        <v>47</v>
      </c>
      <c r="E32" s="10">
        <v>55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5</v>
      </c>
      <c r="M32" s="10">
        <v>11</v>
      </c>
      <c r="N32" s="10">
        <v>23</v>
      </c>
      <c r="O32" s="10">
        <v>7</v>
      </c>
      <c r="P32" s="10">
        <v>29</v>
      </c>
      <c r="Q32" s="10">
        <v>18</v>
      </c>
      <c r="R32" s="10">
        <v>0</v>
      </c>
      <c r="S32" s="10">
        <v>0</v>
      </c>
    </row>
    <row r="33" spans="1:19" s="93" customFormat="1" ht="15.75" customHeight="1">
      <c r="A33" s="522"/>
      <c r="B33" s="492"/>
      <c r="C33" s="235" t="s">
        <v>704</v>
      </c>
      <c r="D33" s="24">
        <v>19</v>
      </c>
      <c r="E33" s="10">
        <v>52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</v>
      </c>
      <c r="L33" s="10">
        <v>5</v>
      </c>
      <c r="M33" s="10">
        <v>7</v>
      </c>
      <c r="N33" s="10">
        <v>5</v>
      </c>
      <c r="O33" s="10">
        <v>0</v>
      </c>
      <c r="P33" s="10">
        <v>11</v>
      </c>
      <c r="Q33" s="10">
        <v>8</v>
      </c>
      <c r="R33" s="10">
        <v>0</v>
      </c>
      <c r="S33" s="10">
        <v>0</v>
      </c>
    </row>
    <row r="34" spans="1:19" ht="15.75" customHeight="1">
      <c r="A34" s="524" t="s">
        <v>600</v>
      </c>
      <c r="B34" s="536" t="s">
        <v>580</v>
      </c>
      <c r="C34" s="234" t="s">
        <v>702</v>
      </c>
      <c r="D34" s="140">
        <f>SUM(D37,D40,'表36(續1)'!D7,'表36(續1)'!D10,'表36(續1)'!D13,'表36(續1)'!D16,'表36(續1)'!D19,'表36(續1)'!D22,'表36(續1)'!D25)</f>
        <v>925</v>
      </c>
      <c r="E34" s="56">
        <f>(SUM(E40,E37,'表36(續1)'!E7,'表36(續1)'!E10,'表36(續1)'!E13,'表36(續1)'!E16,'表36(續1)'!E19,'表36(續1)'!E22,'表36(續1)'!E25))/9</f>
        <v>48.22222222222222</v>
      </c>
      <c r="F34" s="56">
        <v>0</v>
      </c>
      <c r="G34" s="56">
        <v>0</v>
      </c>
      <c r="H34" s="56">
        <v>0</v>
      </c>
      <c r="I34" s="56">
        <v>2</v>
      </c>
      <c r="J34" s="56">
        <v>53</v>
      </c>
      <c r="K34" s="56">
        <v>156</v>
      </c>
      <c r="L34" s="56">
        <v>298</v>
      </c>
      <c r="M34" s="56">
        <v>283</v>
      </c>
      <c r="N34" s="56">
        <v>104</v>
      </c>
      <c r="O34" s="56">
        <v>29</v>
      </c>
      <c r="P34" s="56">
        <v>258</v>
      </c>
      <c r="Q34" s="56">
        <v>631</v>
      </c>
      <c r="R34" s="56">
        <v>36</v>
      </c>
      <c r="S34" s="56">
        <v>0</v>
      </c>
    </row>
    <row r="35" spans="1:19" ht="15.75" customHeight="1">
      <c r="A35" s="525"/>
      <c r="B35" s="492"/>
      <c r="C35" s="124" t="s">
        <v>703</v>
      </c>
      <c r="D35" s="251">
        <f>SUM(D38,D41,'表36(續1)'!D8,'表36(續1)'!D11,'表36(續1)'!D14,'表36(續1)'!D17,'表36(續1)'!D20,'表36(續1)'!D23,'表36(續1)'!D26)</f>
        <v>482</v>
      </c>
      <c r="E35" s="49">
        <f>(SUM(E41,E38,'表36(續1)'!E8,'表36(續1)'!E11,'表36(續1)'!E14,'表36(續1)'!E17,'表36(續1)'!E20,'表36(續1)'!E23,'表36(續1)'!E26))/9</f>
        <v>49.55555555555556</v>
      </c>
      <c r="F35" s="59">
        <v>0</v>
      </c>
      <c r="G35" s="58">
        <v>0</v>
      </c>
      <c r="H35" s="58">
        <v>0</v>
      </c>
      <c r="I35" s="58">
        <v>1</v>
      </c>
      <c r="J35" s="58">
        <v>19</v>
      </c>
      <c r="K35" s="58">
        <v>68</v>
      </c>
      <c r="L35" s="58">
        <v>129</v>
      </c>
      <c r="M35" s="58">
        <v>169</v>
      </c>
      <c r="N35" s="58">
        <v>71</v>
      </c>
      <c r="O35" s="58">
        <v>25</v>
      </c>
      <c r="P35" s="59">
        <v>152</v>
      </c>
      <c r="Q35" s="59">
        <v>306</v>
      </c>
      <c r="R35" s="59">
        <v>24</v>
      </c>
      <c r="S35" s="59">
        <v>0</v>
      </c>
    </row>
    <row r="36" spans="1:19" ht="15.75" customHeight="1">
      <c r="A36" s="525"/>
      <c r="B36" s="493"/>
      <c r="C36" s="235" t="s">
        <v>704</v>
      </c>
      <c r="D36" s="24">
        <f>SUM(D39,D42,'表36(續1)'!D9,'表36(續1)'!D12,'表36(續1)'!D15,'表36(續1)'!D18,'表36(續1)'!D21,'表36(續1)'!D24,'表36(續1)'!D27)</f>
        <v>443</v>
      </c>
      <c r="E36" s="49">
        <f>(SUM(E39,E42,'表36(續1)'!E9,'表36(續1)'!E12,'表36(續1)'!E15,'表36(續1)'!E18,'表36(續1)'!E21,'表36(續1)'!E24,'表36(續1)'!E27))/9</f>
        <v>46.55555555555556</v>
      </c>
      <c r="F36" s="59">
        <v>0</v>
      </c>
      <c r="G36" s="58">
        <v>0</v>
      </c>
      <c r="H36" s="58">
        <v>0</v>
      </c>
      <c r="I36" s="58">
        <v>1</v>
      </c>
      <c r="J36" s="58">
        <v>34</v>
      </c>
      <c r="K36" s="58">
        <v>88</v>
      </c>
      <c r="L36" s="58">
        <v>169</v>
      </c>
      <c r="M36" s="58">
        <v>114</v>
      </c>
      <c r="N36" s="58">
        <v>33</v>
      </c>
      <c r="O36" s="58">
        <v>4</v>
      </c>
      <c r="P36" s="59">
        <v>106</v>
      </c>
      <c r="Q36" s="59">
        <v>325</v>
      </c>
      <c r="R36" s="59">
        <v>12</v>
      </c>
      <c r="S36" s="59">
        <v>0</v>
      </c>
    </row>
    <row r="37" spans="1:19" ht="15.75" customHeight="1">
      <c r="A37" s="525"/>
      <c r="B37" s="492" t="s">
        <v>519</v>
      </c>
      <c r="C37" s="234" t="s">
        <v>702</v>
      </c>
      <c r="D37" s="54">
        <v>69</v>
      </c>
      <c r="E37" s="55">
        <v>48</v>
      </c>
      <c r="F37" s="55">
        <v>0</v>
      </c>
      <c r="G37" s="55">
        <v>0</v>
      </c>
      <c r="H37" s="55">
        <v>0</v>
      </c>
      <c r="I37" s="55">
        <v>0</v>
      </c>
      <c r="J37" s="55">
        <v>3</v>
      </c>
      <c r="K37" s="55">
        <v>14</v>
      </c>
      <c r="L37" s="55">
        <v>28</v>
      </c>
      <c r="M37" s="55">
        <v>21</v>
      </c>
      <c r="N37" s="55">
        <v>2</v>
      </c>
      <c r="O37" s="55">
        <v>1</v>
      </c>
      <c r="P37" s="55">
        <v>14</v>
      </c>
      <c r="Q37" s="55">
        <v>52</v>
      </c>
      <c r="R37" s="55">
        <v>3</v>
      </c>
      <c r="S37" s="55">
        <v>0</v>
      </c>
    </row>
    <row r="38" spans="1:19" ht="15.75" customHeight="1">
      <c r="A38" s="522" t="s">
        <v>601</v>
      </c>
      <c r="B38" s="492"/>
      <c r="C38" s="124" t="s">
        <v>703</v>
      </c>
      <c r="D38" s="24">
        <v>45</v>
      </c>
      <c r="E38" s="10">
        <v>48</v>
      </c>
      <c r="F38" s="10">
        <v>0</v>
      </c>
      <c r="G38" s="10">
        <v>0</v>
      </c>
      <c r="H38" s="10">
        <v>0</v>
      </c>
      <c r="I38" s="10">
        <v>0</v>
      </c>
      <c r="J38" s="10">
        <v>2</v>
      </c>
      <c r="K38" s="10">
        <v>7</v>
      </c>
      <c r="L38" s="10">
        <v>19</v>
      </c>
      <c r="M38" s="10">
        <v>15</v>
      </c>
      <c r="N38" s="10">
        <v>1</v>
      </c>
      <c r="O38" s="10">
        <v>1</v>
      </c>
      <c r="P38" s="10">
        <v>10</v>
      </c>
      <c r="Q38" s="10">
        <v>32</v>
      </c>
      <c r="R38" s="10">
        <v>3</v>
      </c>
      <c r="S38" s="10">
        <v>0</v>
      </c>
    </row>
    <row r="39" spans="1:19" ht="15.75" customHeight="1">
      <c r="A39" s="522"/>
      <c r="B39" s="492"/>
      <c r="C39" s="235" t="s">
        <v>704</v>
      </c>
      <c r="D39" s="24">
        <v>24</v>
      </c>
      <c r="E39" s="10">
        <v>47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v>7</v>
      </c>
      <c r="L39" s="10">
        <v>9</v>
      </c>
      <c r="M39" s="10">
        <v>6</v>
      </c>
      <c r="N39" s="10">
        <v>1</v>
      </c>
      <c r="O39" s="10">
        <v>0</v>
      </c>
      <c r="P39" s="10">
        <v>4</v>
      </c>
      <c r="Q39" s="10">
        <v>20</v>
      </c>
      <c r="R39" s="10">
        <v>0</v>
      </c>
      <c r="S39" s="10">
        <v>0</v>
      </c>
    </row>
    <row r="40" spans="1:44" s="93" customFormat="1" ht="15.75" customHeight="1">
      <c r="A40" s="522"/>
      <c r="B40" s="491" t="s">
        <v>520</v>
      </c>
      <c r="C40" s="234" t="s">
        <v>702</v>
      </c>
      <c r="D40" s="54">
        <v>63</v>
      </c>
      <c r="E40" s="55">
        <v>48</v>
      </c>
      <c r="F40" s="55">
        <v>0</v>
      </c>
      <c r="G40" s="55">
        <v>0</v>
      </c>
      <c r="H40" s="55">
        <v>0</v>
      </c>
      <c r="I40" s="55">
        <v>1</v>
      </c>
      <c r="J40" s="55">
        <v>4</v>
      </c>
      <c r="K40" s="55">
        <v>13</v>
      </c>
      <c r="L40" s="55">
        <v>18</v>
      </c>
      <c r="M40" s="55">
        <v>16</v>
      </c>
      <c r="N40" s="55">
        <v>10</v>
      </c>
      <c r="O40" s="55">
        <v>1</v>
      </c>
      <c r="P40" s="55">
        <v>17</v>
      </c>
      <c r="Q40" s="55">
        <v>44</v>
      </c>
      <c r="R40" s="55">
        <v>2</v>
      </c>
      <c r="S40" s="55">
        <v>0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s="93" customFormat="1" ht="15.75" customHeight="1">
      <c r="A41" s="522"/>
      <c r="B41" s="492"/>
      <c r="C41" s="124" t="s">
        <v>703</v>
      </c>
      <c r="D41" s="24">
        <v>41</v>
      </c>
      <c r="E41" s="10">
        <v>49</v>
      </c>
      <c r="F41" s="10">
        <v>0</v>
      </c>
      <c r="G41" s="10">
        <v>0</v>
      </c>
      <c r="H41" s="10">
        <v>0</v>
      </c>
      <c r="I41" s="10">
        <v>1</v>
      </c>
      <c r="J41" s="10">
        <v>2</v>
      </c>
      <c r="K41" s="10">
        <v>7</v>
      </c>
      <c r="L41" s="10">
        <v>7</v>
      </c>
      <c r="M41" s="10">
        <v>14</v>
      </c>
      <c r="N41" s="10">
        <v>9</v>
      </c>
      <c r="O41" s="10">
        <v>1</v>
      </c>
      <c r="P41" s="10">
        <v>12</v>
      </c>
      <c r="Q41" s="10">
        <v>27</v>
      </c>
      <c r="R41" s="10">
        <v>2</v>
      </c>
      <c r="S41" s="10">
        <v>0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s="93" customFormat="1" ht="15.75" customHeight="1">
      <c r="A42" s="522"/>
      <c r="B42" s="493"/>
      <c r="C42" s="143" t="s">
        <v>704</v>
      </c>
      <c r="D42" s="24">
        <v>22</v>
      </c>
      <c r="E42" s="10">
        <v>45</v>
      </c>
      <c r="F42" s="10">
        <v>0</v>
      </c>
      <c r="G42" s="10">
        <v>0</v>
      </c>
      <c r="H42" s="10">
        <v>0</v>
      </c>
      <c r="I42" s="10">
        <v>0</v>
      </c>
      <c r="J42" s="10">
        <v>2</v>
      </c>
      <c r="K42" s="10">
        <v>6</v>
      </c>
      <c r="L42" s="10">
        <v>11</v>
      </c>
      <c r="M42" s="10">
        <v>2</v>
      </c>
      <c r="N42" s="10">
        <v>1</v>
      </c>
      <c r="O42" s="10">
        <v>0</v>
      </c>
      <c r="P42" s="10">
        <v>5</v>
      </c>
      <c r="Q42" s="10">
        <v>17</v>
      </c>
      <c r="R42" s="10">
        <v>0</v>
      </c>
      <c r="S42" s="10">
        <v>0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4" ht="15.75">
      <c r="A44" s="329"/>
    </row>
    <row r="51" spans="1:19" ht="15.75">
      <c r="A51" s="573" t="str">
        <f>"- "&amp;Sheet1!B37&amp;" -"</f>
        <v>- 238 -</v>
      </c>
      <c r="B51" s="573"/>
      <c r="C51" s="573"/>
      <c r="D51" s="573"/>
      <c r="E51" s="573"/>
      <c r="F51" s="573"/>
      <c r="G51" s="573"/>
      <c r="H51" s="573"/>
      <c r="I51" s="573"/>
      <c r="J51" s="573"/>
      <c r="K51" s="573" t="str">
        <f>"- "&amp;Sheet1!C37&amp;" -"</f>
        <v>- 239 -</v>
      </c>
      <c r="L51" s="573"/>
      <c r="M51" s="573"/>
      <c r="N51" s="573"/>
      <c r="O51" s="573"/>
      <c r="P51" s="573"/>
      <c r="Q51" s="573"/>
      <c r="R51" s="573"/>
      <c r="S51" s="573"/>
    </row>
  </sheetData>
  <sheetProtection/>
  <mergeCells count="28">
    <mergeCell ref="K1:S1"/>
    <mergeCell ref="A1:J1"/>
    <mergeCell ref="K5:O5"/>
    <mergeCell ref="A5:C6"/>
    <mergeCell ref="F5:J5"/>
    <mergeCell ref="D5:D6"/>
    <mergeCell ref="E5:E6"/>
    <mergeCell ref="L3:R3"/>
    <mergeCell ref="C3:I3"/>
    <mergeCell ref="P5:S5"/>
    <mergeCell ref="B22:B24"/>
    <mergeCell ref="B25:B27"/>
    <mergeCell ref="B13:B15"/>
    <mergeCell ref="B16:B18"/>
    <mergeCell ref="A7:B9"/>
    <mergeCell ref="B10:B12"/>
    <mergeCell ref="A10:A21"/>
    <mergeCell ref="B19:B21"/>
    <mergeCell ref="B28:B30"/>
    <mergeCell ref="A51:J51"/>
    <mergeCell ref="K51:S51"/>
    <mergeCell ref="B31:B33"/>
    <mergeCell ref="B34:B36"/>
    <mergeCell ref="B37:B39"/>
    <mergeCell ref="B40:B42"/>
    <mergeCell ref="A22:A33"/>
    <mergeCell ref="A34:A37"/>
    <mergeCell ref="A38:A42"/>
  </mergeCells>
  <printOptions/>
  <pageMargins left="0.6299212598425197" right="0.3937007874015748" top="0.5511811023622047" bottom="0.041666666666666664" header="0.5118110236220472" footer="0.7086614173228347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R53"/>
  <sheetViews>
    <sheetView view="pageLayout" zoomScaleSheetLayoutView="85" workbookViewId="0" topLeftCell="A28">
      <selection activeCell="A53" sqref="A53:J53"/>
    </sheetView>
  </sheetViews>
  <sheetFormatPr defaultColWidth="9.00390625" defaultRowHeight="16.5"/>
  <cols>
    <col min="1" max="1" width="6.50390625" style="85" customWidth="1"/>
    <col min="2" max="2" width="9.50390625" style="85" customWidth="1"/>
    <col min="3" max="3" width="10.25390625" style="85" customWidth="1"/>
    <col min="4" max="4" width="11.00390625" style="85" customWidth="1"/>
    <col min="5" max="5" width="9.125" style="85" customWidth="1"/>
    <col min="6" max="14" width="8.75390625" style="85" customWidth="1"/>
    <col min="15" max="15" width="9.0039062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125" style="85" customWidth="1"/>
    <col min="20" max="16384" width="9.00390625" style="85" customWidth="1"/>
  </cols>
  <sheetData>
    <row r="1" spans="1:19" s="98" customFormat="1" ht="21.75" customHeight="1">
      <c r="A1" s="539" t="s">
        <v>602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230</v>
      </c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33"/>
      <c r="B2" s="33"/>
      <c r="C2" s="33"/>
      <c r="D2" s="33"/>
      <c r="E2" s="33"/>
      <c r="F2" s="33"/>
      <c r="G2" s="33"/>
      <c r="H2" s="33"/>
      <c r="I2" s="33"/>
      <c r="J2" s="2"/>
      <c r="K2" s="2"/>
      <c r="L2" s="33"/>
      <c r="M2" s="33"/>
      <c r="N2" s="33"/>
      <c r="O2" s="33"/>
      <c r="P2" s="33"/>
      <c r="Q2" s="33"/>
      <c r="R2" s="33"/>
      <c r="S2" s="33"/>
    </row>
    <row r="3" spans="1:19" s="97" customFormat="1" ht="15" customHeight="1">
      <c r="A3" s="66"/>
      <c r="B3" s="66"/>
      <c r="C3" s="460" t="s">
        <v>831</v>
      </c>
      <c r="D3" s="461"/>
      <c r="E3" s="461"/>
      <c r="F3" s="461"/>
      <c r="G3" s="461"/>
      <c r="H3" s="461"/>
      <c r="I3" s="461"/>
      <c r="J3" s="4" t="s">
        <v>698</v>
      </c>
      <c r="K3" s="5"/>
      <c r="L3" s="595" t="s">
        <v>832</v>
      </c>
      <c r="M3" s="595"/>
      <c r="N3" s="595"/>
      <c r="O3" s="595"/>
      <c r="P3" s="595"/>
      <c r="Q3" s="595"/>
      <c r="R3" s="595"/>
      <c r="S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710</v>
      </c>
      <c r="E5" s="507" t="s">
        <v>707</v>
      </c>
      <c r="F5" s="495" t="s">
        <v>938</v>
      </c>
      <c r="G5" s="596"/>
      <c r="H5" s="596"/>
      <c r="I5" s="596"/>
      <c r="J5" s="596"/>
      <c r="K5" s="487" t="s">
        <v>667</v>
      </c>
      <c r="L5" s="596"/>
      <c r="M5" s="596"/>
      <c r="N5" s="596"/>
      <c r="O5" s="597"/>
      <c r="P5" s="495" t="s">
        <v>932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327" t="s">
        <v>789</v>
      </c>
      <c r="K6" s="52" t="s">
        <v>790</v>
      </c>
      <c r="L6" s="52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937</v>
      </c>
      <c r="S6" s="120" t="s">
        <v>711</v>
      </c>
    </row>
    <row r="7" spans="1:44" s="93" customFormat="1" ht="13.5" customHeight="1">
      <c r="A7" s="541" t="s">
        <v>600</v>
      </c>
      <c r="B7" s="507" t="s">
        <v>521</v>
      </c>
      <c r="C7" s="234" t="s">
        <v>702</v>
      </c>
      <c r="D7" s="54">
        <v>69</v>
      </c>
      <c r="E7" s="55">
        <v>48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13</v>
      </c>
      <c r="L7" s="55">
        <v>26</v>
      </c>
      <c r="M7" s="55">
        <v>24</v>
      </c>
      <c r="N7" s="55">
        <v>3</v>
      </c>
      <c r="O7" s="55">
        <v>3</v>
      </c>
      <c r="P7" s="55">
        <v>15</v>
      </c>
      <c r="Q7" s="55">
        <v>45</v>
      </c>
      <c r="R7" s="55">
        <v>9</v>
      </c>
      <c r="S7" s="55">
        <v>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542"/>
      <c r="B8" s="516"/>
      <c r="C8" s="124" t="s">
        <v>703</v>
      </c>
      <c r="D8" s="24">
        <v>49</v>
      </c>
      <c r="E8" s="10">
        <v>49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7</v>
      </c>
      <c r="L8" s="10">
        <v>18</v>
      </c>
      <c r="M8" s="10">
        <v>18</v>
      </c>
      <c r="N8" s="10">
        <v>3</v>
      </c>
      <c r="O8" s="10">
        <v>3</v>
      </c>
      <c r="P8" s="10">
        <v>9</v>
      </c>
      <c r="Q8" s="10">
        <v>32</v>
      </c>
      <c r="R8" s="10">
        <v>8</v>
      </c>
      <c r="S8" s="10">
        <v>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542"/>
      <c r="B9" s="517"/>
      <c r="C9" s="235" t="s">
        <v>704</v>
      </c>
      <c r="D9" s="24">
        <v>20</v>
      </c>
      <c r="E9" s="10">
        <v>47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6</v>
      </c>
      <c r="L9" s="10">
        <v>8</v>
      </c>
      <c r="M9" s="10">
        <v>6</v>
      </c>
      <c r="N9" s="10">
        <v>0</v>
      </c>
      <c r="O9" s="10">
        <v>0</v>
      </c>
      <c r="P9" s="10">
        <v>6</v>
      </c>
      <c r="Q9" s="10">
        <v>13</v>
      </c>
      <c r="R9" s="10">
        <v>1</v>
      </c>
      <c r="S9" s="10">
        <v>0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542"/>
      <c r="B10" s="491" t="s">
        <v>522</v>
      </c>
      <c r="C10" s="234" t="s">
        <v>702</v>
      </c>
      <c r="D10" s="54">
        <v>67</v>
      </c>
      <c r="E10" s="55">
        <v>48</v>
      </c>
      <c r="F10" s="55">
        <v>0</v>
      </c>
      <c r="G10" s="55">
        <v>0</v>
      </c>
      <c r="H10" s="55">
        <v>0</v>
      </c>
      <c r="I10" s="55">
        <v>1</v>
      </c>
      <c r="J10" s="55">
        <v>4</v>
      </c>
      <c r="K10" s="55">
        <v>11</v>
      </c>
      <c r="L10" s="55">
        <v>19</v>
      </c>
      <c r="M10" s="55">
        <v>22</v>
      </c>
      <c r="N10" s="55">
        <v>9</v>
      </c>
      <c r="O10" s="55">
        <v>1</v>
      </c>
      <c r="P10" s="55">
        <v>21</v>
      </c>
      <c r="Q10" s="55">
        <v>45</v>
      </c>
      <c r="R10" s="55">
        <v>1</v>
      </c>
      <c r="S10" s="55">
        <v>0</v>
      </c>
    </row>
    <row r="11" spans="1:19" s="93" customFormat="1" ht="13.5" customHeight="1">
      <c r="A11" s="542"/>
      <c r="B11" s="492"/>
      <c r="C11" s="124" t="s">
        <v>703</v>
      </c>
      <c r="D11" s="64">
        <v>36</v>
      </c>
      <c r="E11" s="49">
        <v>50</v>
      </c>
      <c r="F11" s="58">
        <v>0</v>
      </c>
      <c r="G11" s="49">
        <v>0</v>
      </c>
      <c r="H11" s="49">
        <v>0</v>
      </c>
      <c r="I11" s="49">
        <v>0</v>
      </c>
      <c r="J11" s="59">
        <v>0</v>
      </c>
      <c r="K11" s="58">
        <v>5</v>
      </c>
      <c r="L11" s="58">
        <v>9</v>
      </c>
      <c r="M11" s="58">
        <v>13</v>
      </c>
      <c r="N11" s="58">
        <v>8</v>
      </c>
      <c r="O11" s="58">
        <v>1</v>
      </c>
      <c r="P11" s="58">
        <v>11</v>
      </c>
      <c r="Q11" s="58">
        <v>25</v>
      </c>
      <c r="R11" s="58">
        <v>0</v>
      </c>
      <c r="S11" s="58">
        <v>0</v>
      </c>
    </row>
    <row r="12" spans="1:19" s="93" customFormat="1" ht="13.5" customHeight="1">
      <c r="A12" s="542"/>
      <c r="B12" s="493"/>
      <c r="C12" s="235" t="s">
        <v>704</v>
      </c>
      <c r="D12" s="64">
        <v>31</v>
      </c>
      <c r="E12" s="49">
        <v>45</v>
      </c>
      <c r="F12" s="58">
        <v>0</v>
      </c>
      <c r="G12" s="49">
        <v>0</v>
      </c>
      <c r="H12" s="49">
        <v>0</v>
      </c>
      <c r="I12" s="49">
        <v>1</v>
      </c>
      <c r="J12" s="59">
        <v>4</v>
      </c>
      <c r="K12" s="58">
        <v>6</v>
      </c>
      <c r="L12" s="58">
        <v>10</v>
      </c>
      <c r="M12" s="58">
        <v>9</v>
      </c>
      <c r="N12" s="58">
        <v>1</v>
      </c>
      <c r="O12" s="58">
        <v>0</v>
      </c>
      <c r="P12" s="58">
        <v>10</v>
      </c>
      <c r="Q12" s="58">
        <v>20</v>
      </c>
      <c r="R12" s="58">
        <v>1</v>
      </c>
      <c r="S12" s="58">
        <v>0</v>
      </c>
    </row>
    <row r="13" spans="1:19" s="93" customFormat="1" ht="13.5" customHeight="1">
      <c r="A13" s="542"/>
      <c r="B13" s="491" t="s">
        <v>532</v>
      </c>
      <c r="C13" s="234" t="s">
        <v>702</v>
      </c>
      <c r="D13" s="54">
        <v>183</v>
      </c>
      <c r="E13" s="55">
        <v>48</v>
      </c>
      <c r="F13" s="55">
        <v>0</v>
      </c>
      <c r="G13" s="55">
        <v>0</v>
      </c>
      <c r="H13" s="55">
        <v>0</v>
      </c>
      <c r="I13" s="55">
        <v>0</v>
      </c>
      <c r="J13" s="55">
        <v>10</v>
      </c>
      <c r="K13" s="55">
        <v>36</v>
      </c>
      <c r="L13" s="55">
        <v>65</v>
      </c>
      <c r="M13" s="55">
        <v>52</v>
      </c>
      <c r="N13" s="55">
        <v>16</v>
      </c>
      <c r="O13" s="55">
        <v>4</v>
      </c>
      <c r="P13" s="55">
        <v>67</v>
      </c>
      <c r="Q13" s="55">
        <v>116</v>
      </c>
      <c r="R13" s="55">
        <v>0</v>
      </c>
      <c r="S13" s="55">
        <v>0</v>
      </c>
    </row>
    <row r="14" spans="1:19" s="93" customFormat="1" ht="13.5" customHeight="1">
      <c r="A14" s="542"/>
      <c r="B14" s="492"/>
      <c r="C14" s="124" t="s">
        <v>703</v>
      </c>
      <c r="D14" s="64">
        <v>94</v>
      </c>
      <c r="E14" s="49">
        <v>49</v>
      </c>
      <c r="F14" s="58">
        <v>0</v>
      </c>
      <c r="G14" s="49">
        <v>0</v>
      </c>
      <c r="H14" s="49">
        <v>0</v>
      </c>
      <c r="I14" s="49">
        <v>0</v>
      </c>
      <c r="J14" s="59">
        <v>4</v>
      </c>
      <c r="K14" s="58">
        <v>16</v>
      </c>
      <c r="L14" s="58">
        <v>22</v>
      </c>
      <c r="M14" s="58">
        <v>35</v>
      </c>
      <c r="N14" s="58">
        <v>13</v>
      </c>
      <c r="O14" s="58">
        <v>4</v>
      </c>
      <c r="P14" s="58">
        <v>42</v>
      </c>
      <c r="Q14" s="58">
        <v>52</v>
      </c>
      <c r="R14" s="58">
        <v>0</v>
      </c>
      <c r="S14" s="58">
        <v>0</v>
      </c>
    </row>
    <row r="15" spans="1:19" s="93" customFormat="1" ht="13.5" customHeight="1">
      <c r="A15" s="542"/>
      <c r="B15" s="493"/>
      <c r="C15" s="235" t="s">
        <v>704</v>
      </c>
      <c r="D15" s="64">
        <v>89</v>
      </c>
      <c r="E15" s="49">
        <v>46</v>
      </c>
      <c r="F15" s="58">
        <v>0</v>
      </c>
      <c r="G15" s="49">
        <v>0</v>
      </c>
      <c r="H15" s="49">
        <v>0</v>
      </c>
      <c r="I15" s="49">
        <v>0</v>
      </c>
      <c r="J15" s="59">
        <v>6</v>
      </c>
      <c r="K15" s="58">
        <v>20</v>
      </c>
      <c r="L15" s="58">
        <v>43</v>
      </c>
      <c r="M15" s="58">
        <v>17</v>
      </c>
      <c r="N15" s="58">
        <v>3</v>
      </c>
      <c r="O15" s="58">
        <v>0</v>
      </c>
      <c r="P15" s="58">
        <v>25</v>
      </c>
      <c r="Q15" s="58">
        <v>64</v>
      </c>
      <c r="R15" s="58">
        <v>0</v>
      </c>
      <c r="S15" s="58">
        <v>0</v>
      </c>
    </row>
    <row r="16" spans="1:19" s="93" customFormat="1" ht="13.5" customHeight="1">
      <c r="A16" s="542"/>
      <c r="B16" s="491" t="s">
        <v>533</v>
      </c>
      <c r="C16" s="234" t="s">
        <v>702</v>
      </c>
      <c r="D16" s="54">
        <v>230</v>
      </c>
      <c r="E16" s="55">
        <v>48</v>
      </c>
      <c r="F16" s="55">
        <v>0</v>
      </c>
      <c r="G16" s="55">
        <v>0</v>
      </c>
      <c r="H16" s="55">
        <v>0</v>
      </c>
      <c r="I16" s="55">
        <v>0</v>
      </c>
      <c r="J16" s="55">
        <v>18</v>
      </c>
      <c r="K16" s="55">
        <v>30</v>
      </c>
      <c r="L16" s="55">
        <v>80</v>
      </c>
      <c r="M16" s="55">
        <v>65</v>
      </c>
      <c r="N16" s="55">
        <v>29</v>
      </c>
      <c r="O16" s="55">
        <v>8</v>
      </c>
      <c r="P16" s="55">
        <v>79</v>
      </c>
      <c r="Q16" s="55">
        <v>149</v>
      </c>
      <c r="R16" s="55">
        <v>2</v>
      </c>
      <c r="S16" s="55">
        <v>0</v>
      </c>
    </row>
    <row r="17" spans="1:19" s="93" customFormat="1" ht="13.5" customHeight="1">
      <c r="A17" s="538" t="s">
        <v>601</v>
      </c>
      <c r="B17" s="492"/>
      <c r="C17" s="124" t="s">
        <v>703</v>
      </c>
      <c r="D17" s="64">
        <v>113</v>
      </c>
      <c r="E17" s="49">
        <v>50</v>
      </c>
      <c r="F17" s="49">
        <v>0</v>
      </c>
      <c r="G17" s="49">
        <v>0</v>
      </c>
      <c r="H17" s="49">
        <v>0</v>
      </c>
      <c r="I17" s="49">
        <v>0</v>
      </c>
      <c r="J17" s="49">
        <v>7</v>
      </c>
      <c r="K17" s="49">
        <v>14</v>
      </c>
      <c r="L17" s="49">
        <v>30</v>
      </c>
      <c r="M17" s="49">
        <v>36</v>
      </c>
      <c r="N17" s="49">
        <v>18</v>
      </c>
      <c r="O17" s="49">
        <v>8</v>
      </c>
      <c r="P17" s="49">
        <v>44</v>
      </c>
      <c r="Q17" s="49">
        <v>68</v>
      </c>
      <c r="R17" s="49">
        <v>1</v>
      </c>
      <c r="S17" s="49">
        <v>0</v>
      </c>
    </row>
    <row r="18" spans="1:19" s="93" customFormat="1" ht="13.5" customHeight="1">
      <c r="A18" s="538"/>
      <c r="B18" s="492"/>
      <c r="C18" s="235" t="s">
        <v>704</v>
      </c>
      <c r="D18" s="64">
        <v>117</v>
      </c>
      <c r="E18" s="49">
        <v>47</v>
      </c>
      <c r="F18" s="49">
        <v>0</v>
      </c>
      <c r="G18" s="49">
        <v>0</v>
      </c>
      <c r="H18" s="49">
        <v>0</v>
      </c>
      <c r="I18" s="49">
        <v>0</v>
      </c>
      <c r="J18" s="49">
        <v>11</v>
      </c>
      <c r="K18" s="49">
        <v>16</v>
      </c>
      <c r="L18" s="49">
        <v>50</v>
      </c>
      <c r="M18" s="49">
        <v>29</v>
      </c>
      <c r="N18" s="49">
        <v>11</v>
      </c>
      <c r="O18" s="49">
        <v>0</v>
      </c>
      <c r="P18" s="49">
        <v>35</v>
      </c>
      <c r="Q18" s="49">
        <v>81</v>
      </c>
      <c r="R18" s="49">
        <v>1</v>
      </c>
      <c r="S18" s="49">
        <v>0</v>
      </c>
    </row>
    <row r="19" spans="1:19" s="93" customFormat="1" ht="13.5" customHeight="1">
      <c r="A19" s="538"/>
      <c r="B19" s="491" t="s">
        <v>534</v>
      </c>
      <c r="C19" s="234" t="s">
        <v>702</v>
      </c>
      <c r="D19" s="54">
        <v>135</v>
      </c>
      <c r="E19" s="55">
        <v>49</v>
      </c>
      <c r="F19" s="55">
        <v>0</v>
      </c>
      <c r="G19" s="55">
        <v>0</v>
      </c>
      <c r="H19" s="55">
        <v>0</v>
      </c>
      <c r="I19" s="55">
        <v>0</v>
      </c>
      <c r="J19" s="55">
        <v>7</v>
      </c>
      <c r="K19" s="55">
        <v>17</v>
      </c>
      <c r="L19" s="55">
        <v>33</v>
      </c>
      <c r="M19" s="55">
        <v>53</v>
      </c>
      <c r="N19" s="55">
        <v>18</v>
      </c>
      <c r="O19" s="55">
        <v>7</v>
      </c>
      <c r="P19" s="55">
        <v>33</v>
      </c>
      <c r="Q19" s="55">
        <v>100</v>
      </c>
      <c r="R19" s="55">
        <v>2</v>
      </c>
      <c r="S19" s="55">
        <v>0</v>
      </c>
    </row>
    <row r="20" spans="1:19" s="93" customFormat="1" ht="13.5" customHeight="1">
      <c r="A20" s="538"/>
      <c r="B20" s="492"/>
      <c r="C20" s="124" t="s">
        <v>703</v>
      </c>
      <c r="D20" s="64">
        <v>58</v>
      </c>
      <c r="E20" s="49">
        <v>51</v>
      </c>
      <c r="F20" s="58">
        <v>0</v>
      </c>
      <c r="G20" s="49">
        <v>0</v>
      </c>
      <c r="H20" s="49">
        <v>0</v>
      </c>
      <c r="I20" s="49">
        <v>0</v>
      </c>
      <c r="J20" s="59">
        <v>3</v>
      </c>
      <c r="K20" s="58">
        <v>5</v>
      </c>
      <c r="L20" s="58">
        <v>8</v>
      </c>
      <c r="M20" s="58">
        <v>27</v>
      </c>
      <c r="N20" s="58">
        <v>10</v>
      </c>
      <c r="O20" s="58">
        <v>5</v>
      </c>
      <c r="P20" s="58">
        <v>18</v>
      </c>
      <c r="Q20" s="58">
        <v>39</v>
      </c>
      <c r="R20" s="58">
        <v>1</v>
      </c>
      <c r="S20" s="58">
        <v>0</v>
      </c>
    </row>
    <row r="21" spans="1:19" s="93" customFormat="1" ht="13.5" customHeight="1">
      <c r="A21" s="538"/>
      <c r="B21" s="492"/>
      <c r="C21" s="235" t="s">
        <v>704</v>
      </c>
      <c r="D21" s="64">
        <v>77</v>
      </c>
      <c r="E21" s="49">
        <v>48</v>
      </c>
      <c r="F21" s="58">
        <v>0</v>
      </c>
      <c r="G21" s="49">
        <v>0</v>
      </c>
      <c r="H21" s="49">
        <v>0</v>
      </c>
      <c r="I21" s="49">
        <v>0</v>
      </c>
      <c r="J21" s="59">
        <v>4</v>
      </c>
      <c r="K21" s="58">
        <v>12</v>
      </c>
      <c r="L21" s="58">
        <v>25</v>
      </c>
      <c r="M21" s="58">
        <v>26</v>
      </c>
      <c r="N21" s="58">
        <v>8</v>
      </c>
      <c r="O21" s="58">
        <v>2</v>
      </c>
      <c r="P21" s="58">
        <v>15</v>
      </c>
      <c r="Q21" s="58">
        <v>61</v>
      </c>
      <c r="R21" s="58">
        <v>1</v>
      </c>
      <c r="S21" s="58">
        <v>0</v>
      </c>
    </row>
    <row r="22" spans="1:19" s="93" customFormat="1" ht="13.5" customHeight="1">
      <c r="A22" s="538"/>
      <c r="B22" s="491" t="s">
        <v>536</v>
      </c>
      <c r="C22" s="234" t="s">
        <v>702</v>
      </c>
      <c r="D22" s="54">
        <v>58</v>
      </c>
      <c r="E22" s="55">
        <v>48</v>
      </c>
      <c r="F22" s="55">
        <v>0</v>
      </c>
      <c r="G22" s="55">
        <v>0</v>
      </c>
      <c r="H22" s="55">
        <v>0</v>
      </c>
      <c r="I22" s="55">
        <v>0</v>
      </c>
      <c r="J22" s="55">
        <v>5</v>
      </c>
      <c r="K22" s="55">
        <v>11</v>
      </c>
      <c r="L22" s="55">
        <v>16</v>
      </c>
      <c r="M22" s="55">
        <v>13</v>
      </c>
      <c r="N22" s="55">
        <v>11</v>
      </c>
      <c r="O22" s="55">
        <v>2</v>
      </c>
      <c r="P22" s="55">
        <v>3</v>
      </c>
      <c r="Q22" s="55">
        <v>44</v>
      </c>
      <c r="R22" s="55">
        <v>11</v>
      </c>
      <c r="S22" s="55">
        <v>0</v>
      </c>
    </row>
    <row r="23" spans="1:19" s="93" customFormat="1" ht="13.5" customHeight="1">
      <c r="A23" s="538"/>
      <c r="B23" s="492"/>
      <c r="C23" s="124" t="s">
        <v>703</v>
      </c>
      <c r="D23" s="64">
        <v>23</v>
      </c>
      <c r="E23" s="49">
        <v>50</v>
      </c>
      <c r="F23" s="58">
        <v>0</v>
      </c>
      <c r="G23" s="49">
        <v>0</v>
      </c>
      <c r="H23" s="49">
        <v>0</v>
      </c>
      <c r="I23" s="49">
        <v>0</v>
      </c>
      <c r="J23" s="59">
        <v>1</v>
      </c>
      <c r="K23" s="58">
        <v>2</v>
      </c>
      <c r="L23" s="58">
        <v>10</v>
      </c>
      <c r="M23" s="58">
        <v>4</v>
      </c>
      <c r="N23" s="58">
        <v>5</v>
      </c>
      <c r="O23" s="58">
        <v>1</v>
      </c>
      <c r="P23" s="58">
        <v>1</v>
      </c>
      <c r="Q23" s="58">
        <v>16</v>
      </c>
      <c r="R23" s="58">
        <v>6</v>
      </c>
      <c r="S23" s="58">
        <v>0</v>
      </c>
    </row>
    <row r="24" spans="1:19" s="93" customFormat="1" ht="13.5" customHeight="1">
      <c r="A24" s="538"/>
      <c r="B24" s="493"/>
      <c r="C24" s="235" t="s">
        <v>704</v>
      </c>
      <c r="D24" s="64">
        <v>35</v>
      </c>
      <c r="E24" s="49">
        <v>47</v>
      </c>
      <c r="F24" s="58">
        <v>0</v>
      </c>
      <c r="G24" s="49">
        <v>0</v>
      </c>
      <c r="H24" s="49">
        <v>0</v>
      </c>
      <c r="I24" s="49">
        <v>0</v>
      </c>
      <c r="J24" s="59">
        <v>4</v>
      </c>
      <c r="K24" s="58">
        <v>9</v>
      </c>
      <c r="L24" s="58">
        <v>6</v>
      </c>
      <c r="M24" s="58">
        <v>9</v>
      </c>
      <c r="N24" s="58">
        <v>6</v>
      </c>
      <c r="O24" s="58">
        <v>1</v>
      </c>
      <c r="P24" s="58">
        <v>2</v>
      </c>
      <c r="Q24" s="58">
        <v>28</v>
      </c>
      <c r="R24" s="58">
        <v>5</v>
      </c>
      <c r="S24" s="58">
        <v>0</v>
      </c>
    </row>
    <row r="25" spans="1:19" s="93" customFormat="1" ht="13.5" customHeight="1">
      <c r="A25" s="538"/>
      <c r="B25" s="494" t="s">
        <v>537</v>
      </c>
      <c r="C25" s="234" t="s">
        <v>702</v>
      </c>
      <c r="D25" s="54">
        <v>51</v>
      </c>
      <c r="E25" s="55">
        <v>49</v>
      </c>
      <c r="F25" s="55">
        <v>0</v>
      </c>
      <c r="G25" s="55">
        <v>0</v>
      </c>
      <c r="H25" s="55">
        <v>0</v>
      </c>
      <c r="I25" s="55">
        <v>0</v>
      </c>
      <c r="J25" s="55">
        <v>2</v>
      </c>
      <c r="K25" s="55">
        <v>11</v>
      </c>
      <c r="L25" s="55">
        <v>13</v>
      </c>
      <c r="M25" s="55">
        <v>17</v>
      </c>
      <c r="N25" s="55">
        <v>6</v>
      </c>
      <c r="O25" s="55">
        <v>2</v>
      </c>
      <c r="P25" s="55">
        <v>9</v>
      </c>
      <c r="Q25" s="55">
        <v>36</v>
      </c>
      <c r="R25" s="55">
        <v>6</v>
      </c>
      <c r="S25" s="55">
        <v>0</v>
      </c>
    </row>
    <row r="26" spans="1:19" s="93" customFormat="1" ht="13.5" customHeight="1">
      <c r="A26" s="538"/>
      <c r="B26" s="494"/>
      <c r="C26" s="124" t="s">
        <v>703</v>
      </c>
      <c r="D26" s="64">
        <v>23</v>
      </c>
      <c r="E26" s="49">
        <v>50</v>
      </c>
      <c r="F26" s="58">
        <v>0</v>
      </c>
      <c r="G26" s="49">
        <v>0</v>
      </c>
      <c r="H26" s="49">
        <v>0</v>
      </c>
      <c r="I26" s="49">
        <v>0</v>
      </c>
      <c r="J26" s="59">
        <v>0</v>
      </c>
      <c r="K26" s="58">
        <v>5</v>
      </c>
      <c r="L26" s="58">
        <v>6</v>
      </c>
      <c r="M26" s="58">
        <v>7</v>
      </c>
      <c r="N26" s="58">
        <v>4</v>
      </c>
      <c r="O26" s="58">
        <v>1</v>
      </c>
      <c r="P26" s="58">
        <v>5</v>
      </c>
      <c r="Q26" s="58">
        <v>15</v>
      </c>
      <c r="R26" s="58">
        <v>3</v>
      </c>
      <c r="S26" s="58">
        <v>0</v>
      </c>
    </row>
    <row r="27" spans="1:19" s="93" customFormat="1" ht="13.5" customHeight="1">
      <c r="A27" s="538"/>
      <c r="B27" s="507"/>
      <c r="C27" s="235" t="s">
        <v>704</v>
      </c>
      <c r="D27" s="64">
        <v>28</v>
      </c>
      <c r="E27" s="49">
        <v>47</v>
      </c>
      <c r="F27" s="58">
        <v>0</v>
      </c>
      <c r="G27" s="49">
        <v>0</v>
      </c>
      <c r="H27" s="49">
        <v>0</v>
      </c>
      <c r="I27" s="49">
        <v>0</v>
      </c>
      <c r="J27" s="59">
        <v>2</v>
      </c>
      <c r="K27" s="58">
        <v>6</v>
      </c>
      <c r="L27" s="58">
        <v>7</v>
      </c>
      <c r="M27" s="58">
        <v>10</v>
      </c>
      <c r="N27" s="58">
        <v>2</v>
      </c>
      <c r="O27" s="58">
        <v>1</v>
      </c>
      <c r="P27" s="58">
        <v>4</v>
      </c>
      <c r="Q27" s="58">
        <v>21</v>
      </c>
      <c r="R27" s="58">
        <v>3</v>
      </c>
      <c r="S27" s="58">
        <v>0</v>
      </c>
    </row>
    <row r="28" spans="1:19" s="93" customFormat="1" ht="13.5" customHeight="1">
      <c r="A28" s="541" t="s">
        <v>603</v>
      </c>
      <c r="B28" s="534" t="s">
        <v>580</v>
      </c>
      <c r="C28" s="234" t="s">
        <v>702</v>
      </c>
      <c r="D28" s="140">
        <f>SUM(D31,D34,D37,D40,'表36(續2)'!D7,'表36(續2)'!D10,'表36(續2)'!D13,'表36(續2)'!D16,'表36(續2)'!D19,'表36(續2)'!D22)</f>
        <v>1139</v>
      </c>
      <c r="E28" s="56">
        <f>(SUM(E31,E34,E37,E40,'表36(續2)'!E7,'表36(續2)'!E10,'表36(續2)'!E13,'表36(續2)'!E16,'表36(續2)'!E19,'表36(續2)'!E22))/10</f>
        <v>41.2</v>
      </c>
      <c r="F28" s="56">
        <v>0</v>
      </c>
      <c r="G28" s="56">
        <v>3</v>
      </c>
      <c r="H28" s="56">
        <v>51</v>
      </c>
      <c r="I28" s="56">
        <v>178</v>
      </c>
      <c r="J28" s="56">
        <v>275</v>
      </c>
      <c r="K28" s="56">
        <v>258</v>
      </c>
      <c r="L28" s="56">
        <v>210</v>
      </c>
      <c r="M28" s="56">
        <v>122</v>
      </c>
      <c r="N28" s="56">
        <v>32</v>
      </c>
      <c r="O28" s="56">
        <v>10</v>
      </c>
      <c r="P28" s="56">
        <v>218</v>
      </c>
      <c r="Q28" s="56">
        <v>876</v>
      </c>
      <c r="R28" s="56">
        <v>44</v>
      </c>
      <c r="S28" s="56">
        <v>1</v>
      </c>
    </row>
    <row r="29" spans="1:20" s="93" customFormat="1" ht="13.5" customHeight="1">
      <c r="A29" s="542"/>
      <c r="B29" s="516"/>
      <c r="C29" s="124" t="s">
        <v>703</v>
      </c>
      <c r="D29" s="24">
        <f>SUM(D32,D35,D38,D41,'表36(續2)'!D8,'表36(續2)'!D11,'表36(續2)'!D14,'表36(續2)'!D17,'表36(續2)'!D20,'表36(續2)'!D23)</f>
        <v>383</v>
      </c>
      <c r="E29" s="49">
        <f>(SUM(E32,E35,E38,E41,'表36(續2)'!E8,'表36(續2)'!E11,'表36(續2)'!E14,'表36(續2)'!E17,'表36(續2)'!E20,'表36(續2)'!E23))/10</f>
        <v>42</v>
      </c>
      <c r="F29" s="58">
        <v>0</v>
      </c>
      <c r="G29" s="49">
        <v>0</v>
      </c>
      <c r="H29" s="49">
        <v>3</v>
      </c>
      <c r="I29" s="49">
        <v>50</v>
      </c>
      <c r="J29" s="59">
        <v>104</v>
      </c>
      <c r="K29" s="58">
        <v>96</v>
      </c>
      <c r="L29" s="58">
        <v>75</v>
      </c>
      <c r="M29" s="58">
        <v>44</v>
      </c>
      <c r="N29" s="58">
        <v>7</v>
      </c>
      <c r="O29" s="58">
        <v>4</v>
      </c>
      <c r="P29" s="58">
        <v>109</v>
      </c>
      <c r="Q29" s="58">
        <v>253</v>
      </c>
      <c r="R29" s="58">
        <v>20</v>
      </c>
      <c r="S29" s="58">
        <v>1</v>
      </c>
      <c r="T29" s="94"/>
    </row>
    <row r="30" spans="1:20" s="93" customFormat="1" ht="13.5" customHeight="1">
      <c r="A30" s="542"/>
      <c r="B30" s="517"/>
      <c r="C30" s="235" t="s">
        <v>704</v>
      </c>
      <c r="D30" s="24">
        <f>SUM(D33,D36,D39,D42,'表36(續2)'!D9,'表36(續2)'!D12,'表36(續2)'!D15,'表36(續2)'!D18,'表36(續2)'!D21,'表36(續2)'!D24)</f>
        <v>756</v>
      </c>
      <c r="E30" s="49">
        <v>40</v>
      </c>
      <c r="F30" s="58">
        <v>0</v>
      </c>
      <c r="G30" s="49">
        <v>3</v>
      </c>
      <c r="H30" s="49">
        <v>48</v>
      </c>
      <c r="I30" s="49">
        <v>128</v>
      </c>
      <c r="J30" s="59">
        <v>171</v>
      </c>
      <c r="K30" s="58">
        <v>162</v>
      </c>
      <c r="L30" s="58">
        <v>135</v>
      </c>
      <c r="M30" s="58">
        <v>78</v>
      </c>
      <c r="N30" s="58">
        <v>25</v>
      </c>
      <c r="O30" s="58">
        <v>6</v>
      </c>
      <c r="P30" s="58">
        <v>109</v>
      </c>
      <c r="Q30" s="58">
        <v>623</v>
      </c>
      <c r="R30" s="58">
        <v>24</v>
      </c>
      <c r="S30" s="58">
        <v>0</v>
      </c>
      <c r="T30" s="94"/>
    </row>
    <row r="31" spans="1:19" s="93" customFormat="1" ht="13.5" customHeight="1">
      <c r="A31" s="542"/>
      <c r="B31" s="491" t="s">
        <v>519</v>
      </c>
      <c r="C31" s="234" t="s">
        <v>702</v>
      </c>
      <c r="D31" s="54">
        <v>131</v>
      </c>
      <c r="E31" s="55">
        <v>40</v>
      </c>
      <c r="F31" s="55">
        <v>0</v>
      </c>
      <c r="G31" s="55">
        <v>0</v>
      </c>
      <c r="H31" s="55">
        <v>4</v>
      </c>
      <c r="I31" s="55">
        <v>34</v>
      </c>
      <c r="J31" s="55">
        <v>28</v>
      </c>
      <c r="K31" s="55">
        <v>36</v>
      </c>
      <c r="L31" s="55">
        <v>20</v>
      </c>
      <c r="M31" s="55">
        <v>7</v>
      </c>
      <c r="N31" s="55">
        <v>2</v>
      </c>
      <c r="O31" s="55">
        <v>0</v>
      </c>
      <c r="P31" s="55">
        <v>27</v>
      </c>
      <c r="Q31" s="55">
        <v>103</v>
      </c>
      <c r="R31" s="55">
        <v>1</v>
      </c>
      <c r="S31" s="55">
        <v>0</v>
      </c>
    </row>
    <row r="32" spans="1:20" s="93" customFormat="1" ht="13.5" customHeight="1">
      <c r="A32" s="542"/>
      <c r="B32" s="492"/>
      <c r="C32" s="124" t="s">
        <v>703</v>
      </c>
      <c r="D32" s="64">
        <v>47</v>
      </c>
      <c r="E32" s="49">
        <v>39</v>
      </c>
      <c r="F32" s="49">
        <v>0</v>
      </c>
      <c r="G32" s="49">
        <v>0</v>
      </c>
      <c r="H32" s="49">
        <v>1</v>
      </c>
      <c r="I32" s="49">
        <v>15</v>
      </c>
      <c r="J32" s="49">
        <v>10</v>
      </c>
      <c r="K32" s="49">
        <v>8</v>
      </c>
      <c r="L32" s="49">
        <v>10</v>
      </c>
      <c r="M32" s="49">
        <v>2</v>
      </c>
      <c r="N32" s="49">
        <v>1</v>
      </c>
      <c r="O32" s="49">
        <v>0</v>
      </c>
      <c r="P32" s="49">
        <v>12</v>
      </c>
      <c r="Q32" s="49">
        <v>34</v>
      </c>
      <c r="R32" s="49">
        <v>1</v>
      </c>
      <c r="S32" s="49">
        <v>0</v>
      </c>
      <c r="T32" s="94"/>
    </row>
    <row r="33" spans="1:20" s="93" customFormat="1" ht="13.5" customHeight="1">
      <c r="A33" s="542"/>
      <c r="B33" s="493"/>
      <c r="C33" s="235" t="s">
        <v>704</v>
      </c>
      <c r="D33" s="64">
        <v>84</v>
      </c>
      <c r="E33" s="49">
        <v>40</v>
      </c>
      <c r="F33" s="49">
        <v>0</v>
      </c>
      <c r="G33" s="49">
        <v>0</v>
      </c>
      <c r="H33" s="49">
        <v>3</v>
      </c>
      <c r="I33" s="49">
        <v>19</v>
      </c>
      <c r="J33" s="49">
        <v>18</v>
      </c>
      <c r="K33" s="49">
        <v>28</v>
      </c>
      <c r="L33" s="49">
        <v>10</v>
      </c>
      <c r="M33" s="49">
        <v>5</v>
      </c>
      <c r="N33" s="49">
        <v>1</v>
      </c>
      <c r="O33" s="49">
        <v>0</v>
      </c>
      <c r="P33" s="49">
        <v>15</v>
      </c>
      <c r="Q33" s="49">
        <v>69</v>
      </c>
      <c r="R33" s="49">
        <v>0</v>
      </c>
      <c r="S33" s="49">
        <v>0</v>
      </c>
      <c r="T33" s="94"/>
    </row>
    <row r="34" spans="1:19" ht="13.5" customHeight="1">
      <c r="A34" s="542"/>
      <c r="B34" s="491" t="s">
        <v>520</v>
      </c>
      <c r="C34" s="234" t="s">
        <v>702</v>
      </c>
      <c r="D34" s="54">
        <v>141</v>
      </c>
      <c r="E34" s="55">
        <v>41</v>
      </c>
      <c r="F34" s="55">
        <v>0</v>
      </c>
      <c r="G34" s="55">
        <v>0</v>
      </c>
      <c r="H34" s="55">
        <v>4</v>
      </c>
      <c r="I34" s="55">
        <v>17</v>
      </c>
      <c r="J34" s="55">
        <v>35</v>
      </c>
      <c r="K34" s="55">
        <v>37</v>
      </c>
      <c r="L34" s="55">
        <v>30</v>
      </c>
      <c r="M34" s="55">
        <v>13</v>
      </c>
      <c r="N34" s="55">
        <v>4</v>
      </c>
      <c r="O34" s="55">
        <v>1</v>
      </c>
      <c r="P34" s="55">
        <v>14</v>
      </c>
      <c r="Q34" s="55">
        <v>116</v>
      </c>
      <c r="R34" s="55">
        <v>11</v>
      </c>
      <c r="S34" s="55">
        <v>0</v>
      </c>
    </row>
    <row r="35" spans="1:19" ht="13.5" customHeight="1">
      <c r="A35" s="538" t="s">
        <v>604</v>
      </c>
      <c r="B35" s="492"/>
      <c r="C35" s="124" t="s">
        <v>703</v>
      </c>
      <c r="D35" s="64">
        <v>54</v>
      </c>
      <c r="E35" s="49">
        <v>43</v>
      </c>
      <c r="F35" s="59">
        <v>0</v>
      </c>
      <c r="G35" s="58">
        <v>0</v>
      </c>
      <c r="H35" s="58">
        <v>1</v>
      </c>
      <c r="I35" s="58">
        <v>4</v>
      </c>
      <c r="J35" s="58">
        <v>15</v>
      </c>
      <c r="K35" s="58">
        <v>12</v>
      </c>
      <c r="L35" s="58">
        <v>10</v>
      </c>
      <c r="M35" s="58">
        <v>8</v>
      </c>
      <c r="N35" s="58">
        <v>3</v>
      </c>
      <c r="O35" s="58">
        <v>1</v>
      </c>
      <c r="P35" s="59">
        <v>6</v>
      </c>
      <c r="Q35" s="59">
        <v>40</v>
      </c>
      <c r="R35" s="59">
        <v>8</v>
      </c>
      <c r="S35" s="59">
        <v>0</v>
      </c>
    </row>
    <row r="36" spans="1:19" ht="13.5" customHeight="1">
      <c r="A36" s="538"/>
      <c r="B36" s="493"/>
      <c r="C36" s="235" t="s">
        <v>704</v>
      </c>
      <c r="D36" s="64">
        <v>87</v>
      </c>
      <c r="E36" s="49">
        <v>40</v>
      </c>
      <c r="F36" s="59">
        <v>0</v>
      </c>
      <c r="G36" s="58">
        <v>0</v>
      </c>
      <c r="H36" s="58">
        <v>3</v>
      </c>
      <c r="I36" s="58">
        <v>13</v>
      </c>
      <c r="J36" s="58">
        <v>20</v>
      </c>
      <c r="K36" s="58">
        <v>25</v>
      </c>
      <c r="L36" s="58">
        <v>20</v>
      </c>
      <c r="M36" s="58">
        <v>5</v>
      </c>
      <c r="N36" s="58">
        <v>1</v>
      </c>
      <c r="O36" s="58">
        <v>0</v>
      </c>
      <c r="P36" s="59">
        <v>8</v>
      </c>
      <c r="Q36" s="59">
        <v>76</v>
      </c>
      <c r="R36" s="59">
        <v>3</v>
      </c>
      <c r="S36" s="59">
        <v>0</v>
      </c>
    </row>
    <row r="37" spans="1:19" ht="13.5" customHeight="1">
      <c r="A37" s="538"/>
      <c r="B37" s="492" t="s">
        <v>521</v>
      </c>
      <c r="C37" s="234" t="s">
        <v>702</v>
      </c>
      <c r="D37" s="54">
        <v>135</v>
      </c>
      <c r="E37" s="55">
        <v>40</v>
      </c>
      <c r="F37" s="55">
        <v>0</v>
      </c>
      <c r="G37" s="55">
        <v>0</v>
      </c>
      <c r="H37" s="55">
        <v>4</v>
      </c>
      <c r="I37" s="55">
        <v>23</v>
      </c>
      <c r="J37" s="55">
        <v>39</v>
      </c>
      <c r="K37" s="55">
        <v>28</v>
      </c>
      <c r="L37" s="55">
        <v>23</v>
      </c>
      <c r="M37" s="55">
        <v>16</v>
      </c>
      <c r="N37" s="55">
        <v>0</v>
      </c>
      <c r="O37" s="55">
        <v>2</v>
      </c>
      <c r="P37" s="55">
        <v>13</v>
      </c>
      <c r="Q37" s="55">
        <v>119</v>
      </c>
      <c r="R37" s="55">
        <v>3</v>
      </c>
      <c r="S37" s="55">
        <v>0</v>
      </c>
    </row>
    <row r="38" spans="1:19" ht="13.5" customHeight="1">
      <c r="A38" s="538"/>
      <c r="B38" s="492"/>
      <c r="C38" s="124" t="s">
        <v>703</v>
      </c>
      <c r="D38" s="24">
        <v>50</v>
      </c>
      <c r="E38" s="10">
        <v>43</v>
      </c>
      <c r="F38" s="10">
        <v>0</v>
      </c>
      <c r="G38" s="10">
        <v>0</v>
      </c>
      <c r="H38" s="10">
        <v>0</v>
      </c>
      <c r="I38" s="10">
        <v>3</v>
      </c>
      <c r="J38" s="10">
        <v>17</v>
      </c>
      <c r="K38" s="10">
        <v>12</v>
      </c>
      <c r="L38" s="10">
        <v>9</v>
      </c>
      <c r="M38" s="10">
        <v>8</v>
      </c>
      <c r="N38" s="10">
        <v>0</v>
      </c>
      <c r="O38" s="10">
        <v>1</v>
      </c>
      <c r="P38" s="10">
        <v>8</v>
      </c>
      <c r="Q38" s="10">
        <v>40</v>
      </c>
      <c r="R38" s="10">
        <v>2</v>
      </c>
      <c r="S38" s="10">
        <v>0</v>
      </c>
    </row>
    <row r="39" spans="1:19" ht="13.5" customHeight="1">
      <c r="A39" s="538"/>
      <c r="B39" s="492"/>
      <c r="C39" s="235" t="s">
        <v>704</v>
      </c>
      <c r="D39" s="24">
        <v>85</v>
      </c>
      <c r="E39" s="10">
        <v>39</v>
      </c>
      <c r="F39" s="10">
        <v>0</v>
      </c>
      <c r="G39" s="10">
        <v>0</v>
      </c>
      <c r="H39" s="10">
        <v>4</v>
      </c>
      <c r="I39" s="10">
        <v>20</v>
      </c>
      <c r="J39" s="10">
        <v>22</v>
      </c>
      <c r="K39" s="10">
        <v>16</v>
      </c>
      <c r="L39" s="10">
        <v>14</v>
      </c>
      <c r="M39" s="10">
        <v>8</v>
      </c>
      <c r="N39" s="10">
        <v>0</v>
      </c>
      <c r="O39" s="10">
        <v>1</v>
      </c>
      <c r="P39" s="10">
        <v>5</v>
      </c>
      <c r="Q39" s="10">
        <v>79</v>
      </c>
      <c r="R39" s="10">
        <v>1</v>
      </c>
      <c r="S39" s="10">
        <v>0</v>
      </c>
    </row>
    <row r="40" spans="1:19" ht="13.5" customHeight="1">
      <c r="A40" s="538"/>
      <c r="B40" s="491" t="s">
        <v>522</v>
      </c>
      <c r="C40" s="234" t="s">
        <v>702</v>
      </c>
      <c r="D40" s="54">
        <v>115</v>
      </c>
      <c r="E40" s="55">
        <v>40</v>
      </c>
      <c r="F40" s="55">
        <v>0</v>
      </c>
      <c r="G40" s="55">
        <v>1</v>
      </c>
      <c r="H40" s="55">
        <v>5</v>
      </c>
      <c r="I40" s="55">
        <v>21</v>
      </c>
      <c r="J40" s="55">
        <v>32</v>
      </c>
      <c r="K40" s="55">
        <v>18</v>
      </c>
      <c r="L40" s="55">
        <v>25</v>
      </c>
      <c r="M40" s="55">
        <v>10</v>
      </c>
      <c r="N40" s="55">
        <v>2</v>
      </c>
      <c r="O40" s="55">
        <v>1</v>
      </c>
      <c r="P40" s="55">
        <v>28</v>
      </c>
      <c r="Q40" s="55">
        <v>86</v>
      </c>
      <c r="R40" s="55">
        <v>1</v>
      </c>
      <c r="S40" s="55">
        <v>0</v>
      </c>
    </row>
    <row r="41" spans="1:19" ht="13.5" customHeight="1">
      <c r="A41" s="538"/>
      <c r="B41" s="492"/>
      <c r="C41" s="124" t="s">
        <v>703</v>
      </c>
      <c r="D41" s="24">
        <v>38</v>
      </c>
      <c r="E41" s="10">
        <v>40</v>
      </c>
      <c r="F41" s="10">
        <v>0</v>
      </c>
      <c r="G41" s="10">
        <v>0</v>
      </c>
      <c r="H41" s="10">
        <v>0</v>
      </c>
      <c r="I41" s="10">
        <v>5</v>
      </c>
      <c r="J41" s="10">
        <v>16</v>
      </c>
      <c r="K41" s="10">
        <v>8</v>
      </c>
      <c r="L41" s="10">
        <v>5</v>
      </c>
      <c r="M41" s="10">
        <v>4</v>
      </c>
      <c r="N41" s="10">
        <v>0</v>
      </c>
      <c r="O41" s="10">
        <v>0</v>
      </c>
      <c r="P41" s="10">
        <v>14</v>
      </c>
      <c r="Q41" s="10">
        <v>24</v>
      </c>
      <c r="R41" s="10">
        <v>0</v>
      </c>
      <c r="S41" s="10">
        <v>0</v>
      </c>
    </row>
    <row r="42" spans="1:19" ht="13.5" customHeight="1">
      <c r="A42" s="538"/>
      <c r="B42" s="493"/>
      <c r="C42" s="143" t="s">
        <v>704</v>
      </c>
      <c r="D42" s="24">
        <v>77</v>
      </c>
      <c r="E42" s="10">
        <v>40</v>
      </c>
      <c r="F42" s="10">
        <v>0</v>
      </c>
      <c r="G42" s="10">
        <v>1</v>
      </c>
      <c r="H42" s="10">
        <v>5</v>
      </c>
      <c r="I42" s="10">
        <v>16</v>
      </c>
      <c r="J42" s="10">
        <v>16</v>
      </c>
      <c r="K42" s="10">
        <v>10</v>
      </c>
      <c r="L42" s="10">
        <v>20</v>
      </c>
      <c r="M42" s="10">
        <v>6</v>
      </c>
      <c r="N42" s="10">
        <v>2</v>
      </c>
      <c r="O42" s="10">
        <v>1</v>
      </c>
      <c r="P42" s="10">
        <v>14</v>
      </c>
      <c r="Q42" s="10">
        <v>62</v>
      </c>
      <c r="R42" s="10">
        <v>1</v>
      </c>
      <c r="S42" s="10">
        <v>0</v>
      </c>
    </row>
    <row r="44" ht="15.75">
      <c r="A44" s="329"/>
    </row>
    <row r="53" spans="1:19" ht="15.75">
      <c r="A53" s="573" t="str">
        <f>"- "&amp;Sheet1!D37&amp;" -"</f>
        <v>- 240 -</v>
      </c>
      <c r="B53" s="573"/>
      <c r="C53" s="573"/>
      <c r="D53" s="573"/>
      <c r="E53" s="573"/>
      <c r="F53" s="573"/>
      <c r="G53" s="573"/>
      <c r="H53" s="573"/>
      <c r="I53" s="573"/>
      <c r="J53" s="573"/>
      <c r="K53" s="598" t="str">
        <f>"- "&amp;Sheet1!E37&amp;" -"</f>
        <v>- 241 -</v>
      </c>
      <c r="L53" s="598"/>
      <c r="M53" s="598"/>
      <c r="N53" s="598"/>
      <c r="O53" s="598"/>
      <c r="P53" s="598"/>
      <c r="Q53" s="598"/>
      <c r="R53" s="598"/>
      <c r="S53" s="598"/>
    </row>
  </sheetData>
  <sheetProtection/>
  <mergeCells count="28">
    <mergeCell ref="K5:O5"/>
    <mergeCell ref="A1:J1"/>
    <mergeCell ref="K1:S1"/>
    <mergeCell ref="B7:B9"/>
    <mergeCell ref="E5:E6"/>
    <mergeCell ref="B10:B12"/>
    <mergeCell ref="L3:R3"/>
    <mergeCell ref="A7:A16"/>
    <mergeCell ref="C3:I3"/>
    <mergeCell ref="P5:S5"/>
    <mergeCell ref="A5:C6"/>
    <mergeCell ref="D5:D6"/>
    <mergeCell ref="F5:J5"/>
    <mergeCell ref="B13:B15"/>
    <mergeCell ref="B16:B18"/>
    <mergeCell ref="A17:A27"/>
    <mergeCell ref="B31:B33"/>
    <mergeCell ref="B34:B36"/>
    <mergeCell ref="A28:A34"/>
    <mergeCell ref="B25:B27"/>
    <mergeCell ref="B28:B30"/>
    <mergeCell ref="B19:B21"/>
    <mergeCell ref="B22:B24"/>
    <mergeCell ref="A53:J53"/>
    <mergeCell ref="K53:S53"/>
    <mergeCell ref="B37:B39"/>
    <mergeCell ref="B40:B42"/>
    <mergeCell ref="A35:A42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R53"/>
  <sheetViews>
    <sheetView view="pageLayout" zoomScaleSheetLayoutView="85" workbookViewId="0" topLeftCell="A34">
      <selection activeCell="A53" sqref="A53:J53"/>
    </sheetView>
  </sheetViews>
  <sheetFormatPr defaultColWidth="9.00390625" defaultRowHeight="16.5"/>
  <cols>
    <col min="1" max="1" width="6.50390625" style="85" customWidth="1"/>
    <col min="2" max="2" width="9.50390625" style="85" customWidth="1"/>
    <col min="3" max="3" width="10.25390625" style="85" customWidth="1"/>
    <col min="4" max="4" width="11.00390625" style="85" customWidth="1"/>
    <col min="5" max="5" width="9.125" style="85" customWidth="1"/>
    <col min="6" max="14" width="8.75390625" style="85" customWidth="1"/>
    <col min="15" max="15" width="9.0039062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125" style="85" customWidth="1"/>
    <col min="20" max="16384" width="9.00390625" style="85" customWidth="1"/>
  </cols>
  <sheetData>
    <row r="1" spans="1:19" s="98" customFormat="1" ht="21.75" customHeight="1">
      <c r="A1" s="539" t="s">
        <v>605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231</v>
      </c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33"/>
      <c r="B2" s="33"/>
      <c r="C2" s="33"/>
      <c r="D2" s="33"/>
      <c r="E2" s="33"/>
      <c r="F2" s="33"/>
      <c r="G2" s="33"/>
      <c r="H2" s="33"/>
      <c r="I2" s="33"/>
      <c r="J2" s="2"/>
      <c r="K2" s="2"/>
      <c r="L2" s="33"/>
      <c r="M2" s="33"/>
      <c r="N2" s="33"/>
      <c r="O2" s="33"/>
      <c r="P2" s="33"/>
      <c r="Q2" s="33"/>
      <c r="R2" s="33"/>
      <c r="S2" s="33"/>
    </row>
    <row r="3" spans="1:19" s="97" customFormat="1" ht="15" customHeight="1">
      <c r="A3" s="66"/>
      <c r="B3" s="66"/>
      <c r="C3" s="460" t="s">
        <v>831</v>
      </c>
      <c r="D3" s="461"/>
      <c r="E3" s="461"/>
      <c r="F3" s="461"/>
      <c r="G3" s="461"/>
      <c r="H3" s="461"/>
      <c r="I3" s="461"/>
      <c r="J3" s="4" t="s">
        <v>761</v>
      </c>
      <c r="K3" s="5"/>
      <c r="L3" s="595" t="s">
        <v>832</v>
      </c>
      <c r="M3" s="595"/>
      <c r="N3" s="595"/>
      <c r="O3" s="595"/>
      <c r="P3" s="595"/>
      <c r="Q3" s="595"/>
      <c r="R3" s="595"/>
      <c r="S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762</v>
      </c>
      <c r="E5" s="507" t="s">
        <v>977</v>
      </c>
      <c r="F5" s="495" t="s">
        <v>67</v>
      </c>
      <c r="G5" s="596"/>
      <c r="H5" s="596"/>
      <c r="I5" s="596"/>
      <c r="J5" s="596"/>
      <c r="K5" s="487" t="s">
        <v>979</v>
      </c>
      <c r="L5" s="596"/>
      <c r="M5" s="596"/>
      <c r="N5" s="596"/>
      <c r="O5" s="597"/>
      <c r="P5" s="495" t="s">
        <v>764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327" t="s">
        <v>789</v>
      </c>
      <c r="K6" s="52" t="s">
        <v>790</v>
      </c>
      <c r="L6" s="52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937</v>
      </c>
      <c r="S6" s="120" t="s">
        <v>711</v>
      </c>
    </row>
    <row r="7" spans="1:44" s="93" customFormat="1" ht="13.5" customHeight="1">
      <c r="A7" s="541" t="s">
        <v>603</v>
      </c>
      <c r="B7" s="507" t="s">
        <v>532</v>
      </c>
      <c r="C7" s="234" t="s">
        <v>980</v>
      </c>
      <c r="D7" s="54">
        <v>135</v>
      </c>
      <c r="E7" s="55">
        <v>40</v>
      </c>
      <c r="F7" s="55">
        <v>0</v>
      </c>
      <c r="G7" s="55">
        <v>1</v>
      </c>
      <c r="H7" s="55">
        <v>9</v>
      </c>
      <c r="I7" s="55">
        <v>23</v>
      </c>
      <c r="J7" s="55">
        <v>34</v>
      </c>
      <c r="K7" s="55">
        <v>23</v>
      </c>
      <c r="L7" s="55">
        <v>25</v>
      </c>
      <c r="M7" s="55">
        <v>14</v>
      </c>
      <c r="N7" s="55">
        <v>3</v>
      </c>
      <c r="O7" s="55">
        <v>3</v>
      </c>
      <c r="P7" s="55">
        <v>30</v>
      </c>
      <c r="Q7" s="55">
        <v>102</v>
      </c>
      <c r="R7" s="55">
        <v>3</v>
      </c>
      <c r="S7" s="55">
        <v>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542"/>
      <c r="B8" s="516"/>
      <c r="C8" s="124" t="s">
        <v>981</v>
      </c>
      <c r="D8" s="24">
        <v>47</v>
      </c>
      <c r="E8" s="10">
        <v>41</v>
      </c>
      <c r="F8" s="10">
        <v>0</v>
      </c>
      <c r="G8" s="10">
        <v>0</v>
      </c>
      <c r="H8" s="10">
        <v>0</v>
      </c>
      <c r="I8" s="10">
        <v>7</v>
      </c>
      <c r="J8" s="10">
        <v>11</v>
      </c>
      <c r="K8" s="10">
        <v>13</v>
      </c>
      <c r="L8" s="10">
        <v>9</v>
      </c>
      <c r="M8" s="10">
        <v>5</v>
      </c>
      <c r="N8" s="10">
        <v>0</v>
      </c>
      <c r="O8" s="10">
        <v>2</v>
      </c>
      <c r="P8" s="10">
        <v>19</v>
      </c>
      <c r="Q8" s="10">
        <v>26</v>
      </c>
      <c r="R8" s="10">
        <v>2</v>
      </c>
      <c r="S8" s="10">
        <v>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542"/>
      <c r="B9" s="517"/>
      <c r="C9" s="235" t="s">
        <v>982</v>
      </c>
      <c r="D9" s="24">
        <v>88</v>
      </c>
      <c r="E9" s="10">
        <v>39</v>
      </c>
      <c r="F9" s="10">
        <v>0</v>
      </c>
      <c r="G9" s="10">
        <v>1</v>
      </c>
      <c r="H9" s="10">
        <v>9</v>
      </c>
      <c r="I9" s="10">
        <v>16</v>
      </c>
      <c r="J9" s="10">
        <v>23</v>
      </c>
      <c r="K9" s="10">
        <v>10</v>
      </c>
      <c r="L9" s="10">
        <v>16</v>
      </c>
      <c r="M9" s="10">
        <v>9</v>
      </c>
      <c r="N9" s="10">
        <v>3</v>
      </c>
      <c r="O9" s="10">
        <v>1</v>
      </c>
      <c r="P9" s="10">
        <v>11</v>
      </c>
      <c r="Q9" s="10">
        <v>76</v>
      </c>
      <c r="R9" s="10">
        <v>1</v>
      </c>
      <c r="S9" s="10">
        <v>0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542"/>
      <c r="B10" s="491" t="s">
        <v>533</v>
      </c>
      <c r="C10" s="234" t="s">
        <v>980</v>
      </c>
      <c r="D10" s="54">
        <v>192</v>
      </c>
      <c r="E10" s="55">
        <v>40</v>
      </c>
      <c r="F10" s="55">
        <v>0</v>
      </c>
      <c r="G10" s="55">
        <v>1</v>
      </c>
      <c r="H10" s="55">
        <v>12</v>
      </c>
      <c r="I10" s="55">
        <v>34</v>
      </c>
      <c r="J10" s="55">
        <v>55</v>
      </c>
      <c r="K10" s="55">
        <v>35</v>
      </c>
      <c r="L10" s="55">
        <v>27</v>
      </c>
      <c r="M10" s="55">
        <v>24</v>
      </c>
      <c r="N10" s="55">
        <v>4</v>
      </c>
      <c r="O10" s="55">
        <v>0</v>
      </c>
      <c r="P10" s="55">
        <v>43</v>
      </c>
      <c r="Q10" s="55">
        <v>148</v>
      </c>
      <c r="R10" s="55">
        <v>1</v>
      </c>
      <c r="S10" s="55">
        <v>0</v>
      </c>
    </row>
    <row r="11" spans="1:19" s="93" customFormat="1" ht="13.5" customHeight="1">
      <c r="A11" s="542"/>
      <c r="B11" s="492"/>
      <c r="C11" s="124" t="s">
        <v>981</v>
      </c>
      <c r="D11" s="64">
        <v>68</v>
      </c>
      <c r="E11" s="49">
        <v>41</v>
      </c>
      <c r="F11" s="58">
        <v>0</v>
      </c>
      <c r="G11" s="49">
        <v>0</v>
      </c>
      <c r="H11" s="49">
        <v>1</v>
      </c>
      <c r="I11" s="49">
        <v>11</v>
      </c>
      <c r="J11" s="59">
        <v>20</v>
      </c>
      <c r="K11" s="58">
        <v>16</v>
      </c>
      <c r="L11" s="58">
        <v>12</v>
      </c>
      <c r="M11" s="58">
        <v>7</v>
      </c>
      <c r="N11" s="58">
        <v>1</v>
      </c>
      <c r="O11" s="58">
        <v>0</v>
      </c>
      <c r="P11" s="58">
        <v>26</v>
      </c>
      <c r="Q11" s="58">
        <v>42</v>
      </c>
      <c r="R11" s="58">
        <v>0</v>
      </c>
      <c r="S11" s="58">
        <v>0</v>
      </c>
    </row>
    <row r="12" spans="1:19" s="93" customFormat="1" ht="13.5" customHeight="1">
      <c r="A12" s="542"/>
      <c r="B12" s="493"/>
      <c r="C12" s="235" t="s">
        <v>982</v>
      </c>
      <c r="D12" s="64">
        <v>124</v>
      </c>
      <c r="E12" s="49">
        <v>39</v>
      </c>
      <c r="F12" s="58">
        <v>0</v>
      </c>
      <c r="G12" s="49">
        <v>1</v>
      </c>
      <c r="H12" s="49">
        <v>11</v>
      </c>
      <c r="I12" s="49">
        <v>23</v>
      </c>
      <c r="J12" s="59">
        <v>35</v>
      </c>
      <c r="K12" s="58">
        <v>19</v>
      </c>
      <c r="L12" s="58">
        <v>15</v>
      </c>
      <c r="M12" s="58">
        <v>17</v>
      </c>
      <c r="N12" s="58">
        <v>3</v>
      </c>
      <c r="O12" s="58">
        <v>0</v>
      </c>
      <c r="P12" s="58">
        <v>17</v>
      </c>
      <c r="Q12" s="58">
        <v>106</v>
      </c>
      <c r="R12" s="58">
        <v>1</v>
      </c>
      <c r="S12" s="58">
        <v>0</v>
      </c>
    </row>
    <row r="13" spans="1:19" s="93" customFormat="1" ht="13.5" customHeight="1">
      <c r="A13" s="542"/>
      <c r="B13" s="491" t="s">
        <v>534</v>
      </c>
      <c r="C13" s="234" t="s">
        <v>980</v>
      </c>
      <c r="D13" s="54">
        <v>125</v>
      </c>
      <c r="E13" s="55">
        <v>41</v>
      </c>
      <c r="F13" s="55">
        <v>0</v>
      </c>
      <c r="G13" s="55">
        <v>0</v>
      </c>
      <c r="H13" s="55">
        <v>4</v>
      </c>
      <c r="I13" s="55">
        <v>16</v>
      </c>
      <c r="J13" s="55">
        <v>31</v>
      </c>
      <c r="K13" s="55">
        <v>30</v>
      </c>
      <c r="L13" s="55">
        <v>26</v>
      </c>
      <c r="M13" s="55">
        <v>13</v>
      </c>
      <c r="N13" s="55">
        <v>5</v>
      </c>
      <c r="O13" s="55">
        <v>0</v>
      </c>
      <c r="P13" s="55">
        <v>37</v>
      </c>
      <c r="Q13" s="55">
        <v>87</v>
      </c>
      <c r="R13" s="55">
        <v>1</v>
      </c>
      <c r="S13" s="55">
        <v>0</v>
      </c>
    </row>
    <row r="14" spans="1:19" s="93" customFormat="1" ht="13.5" customHeight="1">
      <c r="A14" s="542"/>
      <c r="B14" s="492"/>
      <c r="C14" s="124" t="s">
        <v>981</v>
      </c>
      <c r="D14" s="64">
        <v>32</v>
      </c>
      <c r="E14" s="49">
        <v>42</v>
      </c>
      <c r="F14" s="58">
        <v>0</v>
      </c>
      <c r="G14" s="49">
        <v>0</v>
      </c>
      <c r="H14" s="49">
        <v>0</v>
      </c>
      <c r="I14" s="49">
        <v>3</v>
      </c>
      <c r="J14" s="59">
        <v>9</v>
      </c>
      <c r="K14" s="58">
        <v>10</v>
      </c>
      <c r="L14" s="58">
        <v>6</v>
      </c>
      <c r="M14" s="58">
        <v>2</v>
      </c>
      <c r="N14" s="58">
        <v>2</v>
      </c>
      <c r="O14" s="58">
        <v>0</v>
      </c>
      <c r="P14" s="58">
        <v>13</v>
      </c>
      <c r="Q14" s="58">
        <v>19</v>
      </c>
      <c r="R14" s="58">
        <v>0</v>
      </c>
      <c r="S14" s="58">
        <v>0</v>
      </c>
    </row>
    <row r="15" spans="1:19" s="93" customFormat="1" ht="13.5" customHeight="1">
      <c r="A15" s="542"/>
      <c r="B15" s="493"/>
      <c r="C15" s="235" t="s">
        <v>982</v>
      </c>
      <c r="D15" s="64">
        <v>93</v>
      </c>
      <c r="E15" s="49">
        <v>41</v>
      </c>
      <c r="F15" s="58">
        <v>0</v>
      </c>
      <c r="G15" s="49">
        <v>0</v>
      </c>
      <c r="H15" s="49">
        <v>4</v>
      </c>
      <c r="I15" s="49">
        <v>13</v>
      </c>
      <c r="J15" s="59">
        <v>22</v>
      </c>
      <c r="K15" s="58">
        <v>20</v>
      </c>
      <c r="L15" s="58">
        <v>20</v>
      </c>
      <c r="M15" s="58">
        <v>11</v>
      </c>
      <c r="N15" s="58">
        <v>3</v>
      </c>
      <c r="O15" s="58">
        <v>0</v>
      </c>
      <c r="P15" s="58">
        <v>24</v>
      </c>
      <c r="Q15" s="58">
        <v>68</v>
      </c>
      <c r="R15" s="58">
        <v>1</v>
      </c>
      <c r="S15" s="58">
        <v>0</v>
      </c>
    </row>
    <row r="16" spans="1:19" s="93" customFormat="1" ht="13.5" customHeight="1">
      <c r="A16" s="538" t="s">
        <v>604</v>
      </c>
      <c r="B16" s="491" t="s">
        <v>535</v>
      </c>
      <c r="C16" s="234" t="s">
        <v>980</v>
      </c>
      <c r="D16" s="54">
        <v>41</v>
      </c>
      <c r="E16" s="55">
        <v>42</v>
      </c>
      <c r="F16" s="55">
        <v>0</v>
      </c>
      <c r="G16" s="55">
        <v>0</v>
      </c>
      <c r="H16" s="55">
        <v>3</v>
      </c>
      <c r="I16" s="55">
        <v>3</v>
      </c>
      <c r="J16" s="55">
        <v>8</v>
      </c>
      <c r="K16" s="55">
        <v>11</v>
      </c>
      <c r="L16" s="55">
        <v>9</v>
      </c>
      <c r="M16" s="55">
        <v>2</v>
      </c>
      <c r="N16" s="55">
        <v>5</v>
      </c>
      <c r="O16" s="55">
        <v>0</v>
      </c>
      <c r="P16" s="55">
        <v>8</v>
      </c>
      <c r="Q16" s="55">
        <v>31</v>
      </c>
      <c r="R16" s="55">
        <v>2</v>
      </c>
      <c r="S16" s="55">
        <v>0</v>
      </c>
    </row>
    <row r="17" spans="1:19" s="93" customFormat="1" ht="13.5" customHeight="1">
      <c r="A17" s="538"/>
      <c r="B17" s="492"/>
      <c r="C17" s="124" t="s">
        <v>981</v>
      </c>
      <c r="D17" s="64">
        <v>13</v>
      </c>
      <c r="E17" s="49">
        <v>43</v>
      </c>
      <c r="F17" s="49">
        <v>0</v>
      </c>
      <c r="G17" s="49">
        <v>0</v>
      </c>
      <c r="H17" s="49">
        <v>0</v>
      </c>
      <c r="I17" s="49">
        <v>0</v>
      </c>
      <c r="J17" s="49">
        <v>3</v>
      </c>
      <c r="K17" s="49">
        <v>4</v>
      </c>
      <c r="L17" s="49">
        <v>4</v>
      </c>
      <c r="M17" s="49">
        <v>2</v>
      </c>
      <c r="N17" s="49">
        <v>0</v>
      </c>
      <c r="O17" s="49">
        <v>0</v>
      </c>
      <c r="P17" s="49">
        <v>5</v>
      </c>
      <c r="Q17" s="49">
        <v>7</v>
      </c>
      <c r="R17" s="49">
        <v>1</v>
      </c>
      <c r="S17" s="49">
        <v>0</v>
      </c>
    </row>
    <row r="18" spans="1:19" s="93" customFormat="1" ht="13.5" customHeight="1">
      <c r="A18" s="538"/>
      <c r="B18" s="492"/>
      <c r="C18" s="235" t="s">
        <v>982</v>
      </c>
      <c r="D18" s="64">
        <v>28</v>
      </c>
      <c r="E18" s="49">
        <v>41</v>
      </c>
      <c r="F18" s="49">
        <v>0</v>
      </c>
      <c r="G18" s="49">
        <v>0</v>
      </c>
      <c r="H18" s="49">
        <v>3</v>
      </c>
      <c r="I18" s="49">
        <v>3</v>
      </c>
      <c r="J18" s="49">
        <v>5</v>
      </c>
      <c r="K18" s="49">
        <v>7</v>
      </c>
      <c r="L18" s="49">
        <v>5</v>
      </c>
      <c r="M18" s="49">
        <v>0</v>
      </c>
      <c r="N18" s="49">
        <v>5</v>
      </c>
      <c r="O18" s="49">
        <v>0</v>
      </c>
      <c r="P18" s="49">
        <v>3</v>
      </c>
      <c r="Q18" s="49">
        <v>24</v>
      </c>
      <c r="R18" s="49">
        <v>1</v>
      </c>
      <c r="S18" s="49">
        <v>0</v>
      </c>
    </row>
    <row r="19" spans="1:19" s="93" customFormat="1" ht="13.5" customHeight="1">
      <c r="A19" s="538"/>
      <c r="B19" s="491" t="s">
        <v>536</v>
      </c>
      <c r="C19" s="234" t="s">
        <v>980</v>
      </c>
      <c r="D19" s="54">
        <v>55</v>
      </c>
      <c r="E19" s="55">
        <v>42</v>
      </c>
      <c r="F19" s="55">
        <v>0</v>
      </c>
      <c r="G19" s="55">
        <v>0</v>
      </c>
      <c r="H19" s="55">
        <v>3</v>
      </c>
      <c r="I19" s="55">
        <v>3</v>
      </c>
      <c r="J19" s="55">
        <v>9</v>
      </c>
      <c r="K19" s="55">
        <v>23</v>
      </c>
      <c r="L19" s="55">
        <v>12</v>
      </c>
      <c r="M19" s="55">
        <v>3</v>
      </c>
      <c r="N19" s="55">
        <v>1</v>
      </c>
      <c r="O19" s="55">
        <v>1</v>
      </c>
      <c r="P19" s="55">
        <v>1</v>
      </c>
      <c r="Q19" s="55">
        <v>40</v>
      </c>
      <c r="R19" s="55">
        <v>13</v>
      </c>
      <c r="S19" s="55">
        <v>1</v>
      </c>
    </row>
    <row r="20" spans="1:19" s="93" customFormat="1" ht="13.5" customHeight="1">
      <c r="A20" s="538"/>
      <c r="B20" s="492"/>
      <c r="C20" s="124" t="s">
        <v>981</v>
      </c>
      <c r="D20" s="64">
        <v>14</v>
      </c>
      <c r="E20" s="49">
        <v>43</v>
      </c>
      <c r="F20" s="58">
        <v>0</v>
      </c>
      <c r="G20" s="49">
        <v>0</v>
      </c>
      <c r="H20" s="49">
        <v>0</v>
      </c>
      <c r="I20" s="49">
        <v>0</v>
      </c>
      <c r="J20" s="59">
        <v>2</v>
      </c>
      <c r="K20" s="58">
        <v>6</v>
      </c>
      <c r="L20" s="58">
        <v>5</v>
      </c>
      <c r="M20" s="58">
        <v>1</v>
      </c>
      <c r="N20" s="58">
        <v>0</v>
      </c>
      <c r="O20" s="58">
        <v>0</v>
      </c>
      <c r="P20" s="58">
        <v>0</v>
      </c>
      <c r="Q20" s="58">
        <v>9</v>
      </c>
      <c r="R20" s="58">
        <v>4</v>
      </c>
      <c r="S20" s="58">
        <v>1</v>
      </c>
    </row>
    <row r="21" spans="1:19" s="93" customFormat="1" ht="13.5" customHeight="1">
      <c r="A21" s="538"/>
      <c r="B21" s="492"/>
      <c r="C21" s="235" t="s">
        <v>982</v>
      </c>
      <c r="D21" s="64">
        <v>41</v>
      </c>
      <c r="E21" s="49">
        <v>41</v>
      </c>
      <c r="F21" s="58">
        <v>0</v>
      </c>
      <c r="G21" s="49">
        <v>0</v>
      </c>
      <c r="H21" s="49">
        <v>3</v>
      </c>
      <c r="I21" s="49">
        <v>3</v>
      </c>
      <c r="J21" s="59">
        <v>7</v>
      </c>
      <c r="K21" s="58">
        <v>17</v>
      </c>
      <c r="L21" s="58">
        <v>7</v>
      </c>
      <c r="M21" s="58">
        <v>2</v>
      </c>
      <c r="N21" s="58">
        <v>1</v>
      </c>
      <c r="O21" s="58">
        <v>1</v>
      </c>
      <c r="P21" s="58">
        <v>1</v>
      </c>
      <c r="Q21" s="58">
        <v>31</v>
      </c>
      <c r="R21" s="58">
        <v>9</v>
      </c>
      <c r="S21" s="58">
        <v>0</v>
      </c>
    </row>
    <row r="22" spans="1:19" s="93" customFormat="1" ht="13.5" customHeight="1">
      <c r="A22" s="538"/>
      <c r="B22" s="491" t="s">
        <v>537</v>
      </c>
      <c r="C22" s="234" t="s">
        <v>980</v>
      </c>
      <c r="D22" s="54">
        <v>69</v>
      </c>
      <c r="E22" s="55">
        <v>46</v>
      </c>
      <c r="F22" s="55">
        <v>0</v>
      </c>
      <c r="G22" s="55">
        <v>0</v>
      </c>
      <c r="H22" s="55">
        <v>3</v>
      </c>
      <c r="I22" s="55">
        <v>4</v>
      </c>
      <c r="J22" s="55">
        <v>4</v>
      </c>
      <c r="K22" s="55">
        <v>17</v>
      </c>
      <c r="L22" s="55">
        <v>13</v>
      </c>
      <c r="M22" s="55">
        <v>20</v>
      </c>
      <c r="N22" s="55">
        <v>6</v>
      </c>
      <c r="O22" s="55">
        <v>2</v>
      </c>
      <c r="P22" s="55">
        <v>17</v>
      </c>
      <c r="Q22" s="55">
        <v>44</v>
      </c>
      <c r="R22" s="55">
        <v>8</v>
      </c>
      <c r="S22" s="55">
        <v>0</v>
      </c>
    </row>
    <row r="23" spans="1:19" s="93" customFormat="1" ht="13.5" customHeight="1">
      <c r="A23" s="538"/>
      <c r="B23" s="492"/>
      <c r="C23" s="124" t="s">
        <v>981</v>
      </c>
      <c r="D23" s="64">
        <v>20</v>
      </c>
      <c r="E23" s="49">
        <v>45</v>
      </c>
      <c r="F23" s="58">
        <v>0</v>
      </c>
      <c r="G23" s="49">
        <v>0</v>
      </c>
      <c r="H23" s="49">
        <v>0</v>
      </c>
      <c r="I23" s="49">
        <v>2</v>
      </c>
      <c r="J23" s="59">
        <v>1</v>
      </c>
      <c r="K23" s="58">
        <v>7</v>
      </c>
      <c r="L23" s="58">
        <v>5</v>
      </c>
      <c r="M23" s="58">
        <v>5</v>
      </c>
      <c r="N23" s="58">
        <v>0</v>
      </c>
      <c r="O23" s="58">
        <v>0</v>
      </c>
      <c r="P23" s="58">
        <v>6</v>
      </c>
      <c r="Q23" s="58">
        <v>12</v>
      </c>
      <c r="R23" s="58">
        <v>2</v>
      </c>
      <c r="S23" s="58">
        <v>0</v>
      </c>
    </row>
    <row r="24" spans="1:19" s="93" customFormat="1" ht="13.5" customHeight="1">
      <c r="A24" s="538"/>
      <c r="B24" s="492"/>
      <c r="C24" s="235" t="s">
        <v>982</v>
      </c>
      <c r="D24" s="64">
        <v>49</v>
      </c>
      <c r="E24" s="49">
        <v>47</v>
      </c>
      <c r="F24" s="58">
        <v>0</v>
      </c>
      <c r="G24" s="49">
        <v>0</v>
      </c>
      <c r="H24" s="49">
        <v>3</v>
      </c>
      <c r="I24" s="49">
        <v>2</v>
      </c>
      <c r="J24" s="59">
        <v>3</v>
      </c>
      <c r="K24" s="58">
        <v>10</v>
      </c>
      <c r="L24" s="58">
        <v>8</v>
      </c>
      <c r="M24" s="58">
        <v>15</v>
      </c>
      <c r="N24" s="58">
        <v>6</v>
      </c>
      <c r="O24" s="58">
        <v>2</v>
      </c>
      <c r="P24" s="58">
        <v>11</v>
      </c>
      <c r="Q24" s="58">
        <v>32</v>
      </c>
      <c r="R24" s="58">
        <v>6</v>
      </c>
      <c r="S24" s="58">
        <v>0</v>
      </c>
    </row>
    <row r="25" spans="1:19" s="93" customFormat="1" ht="13.5" customHeight="1">
      <c r="A25" s="541" t="s">
        <v>606</v>
      </c>
      <c r="B25" s="599" t="s">
        <v>580</v>
      </c>
      <c r="C25" s="234" t="s">
        <v>980</v>
      </c>
      <c r="D25" s="140">
        <f>SUM(D28,D31,D34,D37,D40,'表36(續3)'!D7,'表36(續3)'!D10,'表36(續3)'!D13,'表36(續3)'!D16,'表36(續3)'!D19)</f>
        <v>795</v>
      </c>
      <c r="E25" s="56">
        <v>41</v>
      </c>
      <c r="F25" s="56">
        <v>0</v>
      </c>
      <c r="G25" s="56">
        <v>4</v>
      </c>
      <c r="H25" s="56">
        <v>66</v>
      </c>
      <c r="I25" s="56">
        <v>103</v>
      </c>
      <c r="J25" s="56">
        <v>161</v>
      </c>
      <c r="K25" s="56">
        <v>194</v>
      </c>
      <c r="L25" s="56">
        <v>164</v>
      </c>
      <c r="M25" s="56">
        <v>76</v>
      </c>
      <c r="N25" s="56">
        <v>21</v>
      </c>
      <c r="O25" s="56">
        <v>6</v>
      </c>
      <c r="P25" s="56">
        <v>20</v>
      </c>
      <c r="Q25" s="56">
        <v>658</v>
      </c>
      <c r="R25" s="56">
        <v>116</v>
      </c>
      <c r="S25" s="56">
        <v>1</v>
      </c>
    </row>
    <row r="26" spans="1:19" s="93" customFormat="1" ht="13.5" customHeight="1">
      <c r="A26" s="542"/>
      <c r="B26" s="494"/>
      <c r="C26" s="124" t="s">
        <v>981</v>
      </c>
      <c r="D26" s="24">
        <f>SUM(D29,D32,D35,D38,D41,'表36(續3)'!D8,'表36(續3)'!D11,'表36(續3)'!D14,'表36(續3)'!D17,'表36(續3)'!D20)</f>
        <v>278</v>
      </c>
      <c r="E26" s="49">
        <f>(SUM(E29,E32,E35,E38,E41,'表36(續3)'!E8,'表36(續3)'!E11,'表36(續3)'!E14,'表36(續3)'!E17,'表36(續3)'!E20))/10</f>
        <v>41</v>
      </c>
      <c r="F26" s="58">
        <v>0</v>
      </c>
      <c r="G26" s="49">
        <v>1</v>
      </c>
      <c r="H26" s="49">
        <v>16</v>
      </c>
      <c r="I26" s="49">
        <v>33</v>
      </c>
      <c r="J26" s="59">
        <v>60</v>
      </c>
      <c r="K26" s="58">
        <v>84</v>
      </c>
      <c r="L26" s="58">
        <v>55</v>
      </c>
      <c r="M26" s="58">
        <v>24</v>
      </c>
      <c r="N26" s="58">
        <v>2</v>
      </c>
      <c r="O26" s="58">
        <v>3</v>
      </c>
      <c r="P26" s="58">
        <v>8</v>
      </c>
      <c r="Q26" s="58">
        <v>231</v>
      </c>
      <c r="R26" s="58">
        <v>39</v>
      </c>
      <c r="S26" s="58">
        <v>0</v>
      </c>
    </row>
    <row r="27" spans="1:19" s="93" customFormat="1" ht="13.5" customHeight="1">
      <c r="A27" s="542"/>
      <c r="B27" s="494"/>
      <c r="C27" s="235" t="s">
        <v>982</v>
      </c>
      <c r="D27" s="24">
        <f>SUM(D30,D33,D36,D39,D42,'表36(續3)'!D9,'表36(續3)'!D12,'表36(續3)'!D15,'表36(續3)'!D18,'表36(續3)'!D21)</f>
        <v>517</v>
      </c>
      <c r="E27" s="49">
        <v>41</v>
      </c>
      <c r="F27" s="58">
        <v>0</v>
      </c>
      <c r="G27" s="49">
        <v>3</v>
      </c>
      <c r="H27" s="49">
        <v>50</v>
      </c>
      <c r="I27" s="49">
        <v>70</v>
      </c>
      <c r="J27" s="59">
        <v>101</v>
      </c>
      <c r="K27" s="58">
        <v>110</v>
      </c>
      <c r="L27" s="58">
        <v>109</v>
      </c>
      <c r="M27" s="58">
        <v>52</v>
      </c>
      <c r="N27" s="58">
        <v>19</v>
      </c>
      <c r="O27" s="58">
        <v>3</v>
      </c>
      <c r="P27" s="58">
        <v>12</v>
      </c>
      <c r="Q27" s="58">
        <v>427</v>
      </c>
      <c r="R27" s="58">
        <v>77</v>
      </c>
      <c r="S27" s="58">
        <v>1</v>
      </c>
    </row>
    <row r="28" spans="1:19" s="93" customFormat="1" ht="13.5" customHeight="1">
      <c r="A28" s="542"/>
      <c r="B28" s="507" t="s">
        <v>519</v>
      </c>
      <c r="C28" s="234" t="s">
        <v>980</v>
      </c>
      <c r="D28" s="54">
        <v>93</v>
      </c>
      <c r="E28" s="55">
        <v>41</v>
      </c>
      <c r="F28" s="55">
        <v>0</v>
      </c>
      <c r="G28" s="55">
        <v>0</v>
      </c>
      <c r="H28" s="55">
        <v>7</v>
      </c>
      <c r="I28" s="55">
        <v>17</v>
      </c>
      <c r="J28" s="55">
        <v>19</v>
      </c>
      <c r="K28" s="55">
        <v>20</v>
      </c>
      <c r="L28" s="55">
        <v>19</v>
      </c>
      <c r="M28" s="55">
        <v>9</v>
      </c>
      <c r="N28" s="55">
        <v>2</v>
      </c>
      <c r="O28" s="55">
        <v>0</v>
      </c>
      <c r="P28" s="55">
        <v>0</v>
      </c>
      <c r="Q28" s="55">
        <v>78</v>
      </c>
      <c r="R28" s="55">
        <v>14</v>
      </c>
      <c r="S28" s="55">
        <v>1</v>
      </c>
    </row>
    <row r="29" spans="1:20" s="93" customFormat="1" ht="13.5" customHeight="1">
      <c r="A29" s="542"/>
      <c r="B29" s="516"/>
      <c r="C29" s="124" t="s">
        <v>981</v>
      </c>
      <c r="D29" s="64">
        <v>39</v>
      </c>
      <c r="E29" s="49">
        <v>40</v>
      </c>
      <c r="F29" s="58">
        <v>0</v>
      </c>
      <c r="G29" s="49">
        <v>0</v>
      </c>
      <c r="H29" s="49">
        <v>4</v>
      </c>
      <c r="I29" s="49">
        <v>8</v>
      </c>
      <c r="J29" s="59">
        <v>6</v>
      </c>
      <c r="K29" s="58">
        <v>9</v>
      </c>
      <c r="L29" s="58">
        <v>9</v>
      </c>
      <c r="M29" s="58">
        <v>3</v>
      </c>
      <c r="N29" s="58">
        <v>0</v>
      </c>
      <c r="O29" s="58">
        <v>0</v>
      </c>
      <c r="P29" s="58">
        <v>0</v>
      </c>
      <c r="Q29" s="58">
        <v>35</v>
      </c>
      <c r="R29" s="58">
        <v>4</v>
      </c>
      <c r="S29" s="58">
        <v>0</v>
      </c>
      <c r="T29" s="94"/>
    </row>
    <row r="30" spans="1:20" s="93" customFormat="1" ht="13.5" customHeight="1">
      <c r="A30" s="542"/>
      <c r="B30" s="517"/>
      <c r="C30" s="235" t="s">
        <v>982</v>
      </c>
      <c r="D30" s="64">
        <v>54</v>
      </c>
      <c r="E30" s="49">
        <v>41</v>
      </c>
      <c r="F30" s="58">
        <v>0</v>
      </c>
      <c r="G30" s="49">
        <v>0</v>
      </c>
      <c r="H30" s="49">
        <v>3</v>
      </c>
      <c r="I30" s="49">
        <v>9</v>
      </c>
      <c r="J30" s="59">
        <v>13</v>
      </c>
      <c r="K30" s="58">
        <v>11</v>
      </c>
      <c r="L30" s="58">
        <v>10</v>
      </c>
      <c r="M30" s="58">
        <v>6</v>
      </c>
      <c r="N30" s="58">
        <v>2</v>
      </c>
      <c r="O30" s="58">
        <v>0</v>
      </c>
      <c r="P30" s="58">
        <v>0</v>
      </c>
      <c r="Q30" s="58">
        <v>43</v>
      </c>
      <c r="R30" s="58">
        <v>10</v>
      </c>
      <c r="S30" s="58">
        <v>1</v>
      </c>
      <c r="T30" s="94"/>
    </row>
    <row r="31" spans="1:19" s="93" customFormat="1" ht="13.5" customHeight="1">
      <c r="A31" s="542"/>
      <c r="B31" s="491" t="s">
        <v>520</v>
      </c>
      <c r="C31" s="234" t="s">
        <v>980</v>
      </c>
      <c r="D31" s="54">
        <v>85</v>
      </c>
      <c r="E31" s="55">
        <v>41</v>
      </c>
      <c r="F31" s="55">
        <v>0</v>
      </c>
      <c r="G31" s="55">
        <v>0</v>
      </c>
      <c r="H31" s="55">
        <v>3</v>
      </c>
      <c r="I31" s="55">
        <v>13</v>
      </c>
      <c r="J31" s="55">
        <v>15</v>
      </c>
      <c r="K31" s="55">
        <v>28</v>
      </c>
      <c r="L31" s="55">
        <v>14</v>
      </c>
      <c r="M31" s="55">
        <v>11</v>
      </c>
      <c r="N31" s="55">
        <v>1</v>
      </c>
      <c r="O31" s="55">
        <v>0</v>
      </c>
      <c r="P31" s="55">
        <v>2</v>
      </c>
      <c r="Q31" s="55">
        <v>66</v>
      </c>
      <c r="R31" s="55">
        <v>17</v>
      </c>
      <c r="S31" s="55">
        <v>0</v>
      </c>
    </row>
    <row r="32" spans="1:20" s="93" customFormat="1" ht="13.5" customHeight="1">
      <c r="A32" s="542"/>
      <c r="B32" s="492"/>
      <c r="C32" s="124" t="s">
        <v>981</v>
      </c>
      <c r="D32" s="64">
        <v>32</v>
      </c>
      <c r="E32" s="49">
        <v>40</v>
      </c>
      <c r="F32" s="49">
        <v>0</v>
      </c>
      <c r="G32" s="49">
        <v>0</v>
      </c>
      <c r="H32" s="49">
        <v>0</v>
      </c>
      <c r="I32" s="49">
        <v>6</v>
      </c>
      <c r="J32" s="49">
        <v>7</v>
      </c>
      <c r="K32" s="49">
        <v>14</v>
      </c>
      <c r="L32" s="49">
        <v>3</v>
      </c>
      <c r="M32" s="49">
        <v>2</v>
      </c>
      <c r="N32" s="49">
        <v>0</v>
      </c>
      <c r="O32" s="49">
        <v>0</v>
      </c>
      <c r="P32" s="49">
        <v>1</v>
      </c>
      <c r="Q32" s="49">
        <v>22</v>
      </c>
      <c r="R32" s="49">
        <v>9</v>
      </c>
      <c r="S32" s="49">
        <v>0</v>
      </c>
      <c r="T32" s="94"/>
    </row>
    <row r="33" spans="1:20" s="93" customFormat="1" ht="13.5" customHeight="1">
      <c r="A33" s="542"/>
      <c r="B33" s="493"/>
      <c r="C33" s="235" t="s">
        <v>982</v>
      </c>
      <c r="D33" s="64">
        <v>53</v>
      </c>
      <c r="E33" s="49">
        <v>42</v>
      </c>
      <c r="F33" s="49">
        <v>0</v>
      </c>
      <c r="G33" s="49">
        <v>0</v>
      </c>
      <c r="H33" s="49">
        <v>3</v>
      </c>
      <c r="I33" s="49">
        <v>7</v>
      </c>
      <c r="J33" s="49">
        <v>8</v>
      </c>
      <c r="K33" s="49">
        <v>14</v>
      </c>
      <c r="L33" s="49">
        <v>11</v>
      </c>
      <c r="M33" s="49">
        <v>9</v>
      </c>
      <c r="N33" s="49">
        <v>1</v>
      </c>
      <c r="O33" s="49">
        <v>0</v>
      </c>
      <c r="P33" s="49">
        <v>1</v>
      </c>
      <c r="Q33" s="49">
        <v>44</v>
      </c>
      <c r="R33" s="49">
        <v>8</v>
      </c>
      <c r="S33" s="49">
        <v>0</v>
      </c>
      <c r="T33" s="94"/>
    </row>
    <row r="34" spans="1:19" ht="13.5" customHeight="1">
      <c r="A34" s="538" t="s">
        <v>607</v>
      </c>
      <c r="B34" s="491" t="s">
        <v>521</v>
      </c>
      <c r="C34" s="234" t="s">
        <v>980</v>
      </c>
      <c r="D34" s="54">
        <v>134</v>
      </c>
      <c r="E34" s="55">
        <v>41</v>
      </c>
      <c r="F34" s="55">
        <v>0</v>
      </c>
      <c r="G34" s="55">
        <v>1</v>
      </c>
      <c r="H34" s="55">
        <v>8</v>
      </c>
      <c r="I34" s="55">
        <v>16</v>
      </c>
      <c r="J34" s="55">
        <v>27</v>
      </c>
      <c r="K34" s="55">
        <v>41</v>
      </c>
      <c r="L34" s="55">
        <v>22</v>
      </c>
      <c r="M34" s="55">
        <v>12</v>
      </c>
      <c r="N34" s="55">
        <v>6</v>
      </c>
      <c r="O34" s="55">
        <v>1</v>
      </c>
      <c r="P34" s="55">
        <v>3</v>
      </c>
      <c r="Q34" s="55">
        <v>110</v>
      </c>
      <c r="R34" s="55">
        <v>21</v>
      </c>
      <c r="S34" s="55">
        <v>0</v>
      </c>
    </row>
    <row r="35" spans="1:19" ht="13.5" customHeight="1">
      <c r="A35" s="538"/>
      <c r="B35" s="492"/>
      <c r="C35" s="124" t="s">
        <v>981</v>
      </c>
      <c r="D35" s="64">
        <v>42</v>
      </c>
      <c r="E35" s="49">
        <v>41</v>
      </c>
      <c r="F35" s="59">
        <v>0</v>
      </c>
      <c r="G35" s="58">
        <v>0</v>
      </c>
      <c r="H35" s="58">
        <v>3</v>
      </c>
      <c r="I35" s="58">
        <v>1</v>
      </c>
      <c r="J35" s="58">
        <v>8</v>
      </c>
      <c r="K35" s="58">
        <v>22</v>
      </c>
      <c r="L35" s="58">
        <v>3</v>
      </c>
      <c r="M35" s="58">
        <v>3</v>
      </c>
      <c r="N35" s="58">
        <v>1</v>
      </c>
      <c r="O35" s="58">
        <v>1</v>
      </c>
      <c r="P35" s="59">
        <v>2</v>
      </c>
      <c r="Q35" s="59">
        <v>32</v>
      </c>
      <c r="R35" s="59">
        <v>8</v>
      </c>
      <c r="S35" s="59">
        <v>0</v>
      </c>
    </row>
    <row r="36" spans="1:19" ht="13.5" customHeight="1">
      <c r="A36" s="538"/>
      <c r="B36" s="493"/>
      <c r="C36" s="235" t="s">
        <v>982</v>
      </c>
      <c r="D36" s="64">
        <v>92</v>
      </c>
      <c r="E36" s="49">
        <v>41</v>
      </c>
      <c r="F36" s="59">
        <v>0</v>
      </c>
      <c r="G36" s="58">
        <v>1</v>
      </c>
      <c r="H36" s="58">
        <v>5</v>
      </c>
      <c r="I36" s="58">
        <v>15</v>
      </c>
      <c r="J36" s="58">
        <v>19</v>
      </c>
      <c r="K36" s="58">
        <v>19</v>
      </c>
      <c r="L36" s="58">
        <v>19</v>
      </c>
      <c r="M36" s="58">
        <v>9</v>
      </c>
      <c r="N36" s="58">
        <v>5</v>
      </c>
      <c r="O36" s="58">
        <v>0</v>
      </c>
      <c r="P36" s="59">
        <v>1</v>
      </c>
      <c r="Q36" s="59">
        <v>78</v>
      </c>
      <c r="R36" s="59">
        <v>13</v>
      </c>
      <c r="S36" s="59">
        <v>0</v>
      </c>
    </row>
    <row r="37" spans="1:19" ht="13.5" customHeight="1">
      <c r="A37" s="538"/>
      <c r="B37" s="492" t="s">
        <v>522</v>
      </c>
      <c r="C37" s="234" t="s">
        <v>980</v>
      </c>
      <c r="D37" s="54">
        <v>123</v>
      </c>
      <c r="E37" s="55">
        <v>42</v>
      </c>
      <c r="F37" s="55">
        <v>0</v>
      </c>
      <c r="G37" s="55">
        <v>0</v>
      </c>
      <c r="H37" s="55">
        <v>10</v>
      </c>
      <c r="I37" s="55">
        <v>16</v>
      </c>
      <c r="J37" s="55">
        <v>24</v>
      </c>
      <c r="K37" s="55">
        <v>24</v>
      </c>
      <c r="L37" s="55">
        <v>31</v>
      </c>
      <c r="M37" s="55">
        <v>8</v>
      </c>
      <c r="N37" s="55">
        <v>6</v>
      </c>
      <c r="O37" s="55">
        <v>4</v>
      </c>
      <c r="P37" s="55">
        <v>1</v>
      </c>
      <c r="Q37" s="55">
        <v>97</v>
      </c>
      <c r="R37" s="55">
        <v>25</v>
      </c>
      <c r="S37" s="55">
        <v>0</v>
      </c>
    </row>
    <row r="38" spans="1:19" ht="13.5" customHeight="1">
      <c r="A38" s="538"/>
      <c r="B38" s="492"/>
      <c r="C38" s="124" t="s">
        <v>981</v>
      </c>
      <c r="D38" s="24">
        <v>54</v>
      </c>
      <c r="E38" s="10">
        <v>41</v>
      </c>
      <c r="F38" s="10">
        <v>0</v>
      </c>
      <c r="G38" s="10">
        <v>0</v>
      </c>
      <c r="H38" s="10">
        <v>3</v>
      </c>
      <c r="I38" s="10">
        <v>9</v>
      </c>
      <c r="J38" s="10">
        <v>13</v>
      </c>
      <c r="K38" s="10">
        <v>11</v>
      </c>
      <c r="L38" s="10">
        <v>13</v>
      </c>
      <c r="M38" s="10">
        <v>2</v>
      </c>
      <c r="N38" s="10">
        <v>1</v>
      </c>
      <c r="O38" s="10">
        <v>2</v>
      </c>
      <c r="P38" s="10">
        <v>1</v>
      </c>
      <c r="Q38" s="10">
        <v>44</v>
      </c>
      <c r="R38" s="10">
        <v>9</v>
      </c>
      <c r="S38" s="10">
        <v>0</v>
      </c>
    </row>
    <row r="39" spans="1:19" ht="13.5" customHeight="1">
      <c r="A39" s="538"/>
      <c r="B39" s="492"/>
      <c r="C39" s="235" t="s">
        <v>982</v>
      </c>
      <c r="D39" s="24">
        <v>69</v>
      </c>
      <c r="E39" s="10">
        <v>42</v>
      </c>
      <c r="F39" s="10">
        <v>0</v>
      </c>
      <c r="G39" s="10">
        <v>0</v>
      </c>
      <c r="H39" s="10">
        <v>7</v>
      </c>
      <c r="I39" s="10">
        <v>7</v>
      </c>
      <c r="J39" s="10">
        <v>11</v>
      </c>
      <c r="K39" s="10">
        <v>13</v>
      </c>
      <c r="L39" s="10">
        <v>18</v>
      </c>
      <c r="M39" s="10">
        <v>6</v>
      </c>
      <c r="N39" s="10">
        <v>5</v>
      </c>
      <c r="O39" s="10">
        <v>2</v>
      </c>
      <c r="P39" s="10">
        <v>0</v>
      </c>
      <c r="Q39" s="10">
        <v>53</v>
      </c>
      <c r="R39" s="10">
        <v>16</v>
      </c>
      <c r="S39" s="10">
        <v>0</v>
      </c>
    </row>
    <row r="40" spans="1:19" ht="13.5" customHeight="1">
      <c r="A40" s="538"/>
      <c r="B40" s="491" t="s">
        <v>532</v>
      </c>
      <c r="C40" s="234" t="s">
        <v>980</v>
      </c>
      <c r="D40" s="54">
        <v>108</v>
      </c>
      <c r="E40" s="55">
        <v>41</v>
      </c>
      <c r="F40" s="55">
        <v>0</v>
      </c>
      <c r="G40" s="55">
        <v>0</v>
      </c>
      <c r="H40" s="55">
        <v>6</v>
      </c>
      <c r="I40" s="55">
        <v>10</v>
      </c>
      <c r="J40" s="55">
        <v>24</v>
      </c>
      <c r="K40" s="55">
        <v>27</v>
      </c>
      <c r="L40" s="55">
        <v>23</v>
      </c>
      <c r="M40" s="55">
        <v>15</v>
      </c>
      <c r="N40" s="55">
        <v>2</v>
      </c>
      <c r="O40" s="55">
        <v>1</v>
      </c>
      <c r="P40" s="55">
        <v>1</v>
      </c>
      <c r="Q40" s="55">
        <v>92</v>
      </c>
      <c r="R40" s="55">
        <v>15</v>
      </c>
      <c r="S40" s="55">
        <v>0</v>
      </c>
    </row>
    <row r="41" spans="1:19" ht="13.5" customHeight="1">
      <c r="A41" s="538"/>
      <c r="B41" s="492"/>
      <c r="C41" s="124" t="s">
        <v>981</v>
      </c>
      <c r="D41" s="24">
        <v>39</v>
      </c>
      <c r="E41" s="10">
        <v>42</v>
      </c>
      <c r="F41" s="10">
        <v>0</v>
      </c>
      <c r="G41" s="10">
        <v>0</v>
      </c>
      <c r="H41" s="10">
        <v>1</v>
      </c>
      <c r="I41" s="10">
        <v>1</v>
      </c>
      <c r="J41" s="10">
        <v>10</v>
      </c>
      <c r="K41" s="10">
        <v>13</v>
      </c>
      <c r="L41" s="10">
        <v>8</v>
      </c>
      <c r="M41" s="10">
        <v>6</v>
      </c>
      <c r="N41" s="10">
        <v>0</v>
      </c>
      <c r="O41" s="10">
        <v>0</v>
      </c>
      <c r="P41" s="10">
        <v>1</v>
      </c>
      <c r="Q41" s="10">
        <v>35</v>
      </c>
      <c r="R41" s="10">
        <v>3</v>
      </c>
      <c r="S41" s="10">
        <v>0</v>
      </c>
    </row>
    <row r="42" spans="1:19" ht="13.5" customHeight="1">
      <c r="A42" s="538"/>
      <c r="B42" s="493"/>
      <c r="C42" s="143" t="s">
        <v>982</v>
      </c>
      <c r="D42" s="24">
        <v>69</v>
      </c>
      <c r="E42" s="10">
        <v>41</v>
      </c>
      <c r="F42" s="10">
        <v>0</v>
      </c>
      <c r="G42" s="10">
        <v>0</v>
      </c>
      <c r="H42" s="10">
        <v>5</v>
      </c>
      <c r="I42" s="10">
        <v>9</v>
      </c>
      <c r="J42" s="10">
        <v>14</v>
      </c>
      <c r="K42" s="10">
        <v>14</v>
      </c>
      <c r="L42" s="10">
        <v>15</v>
      </c>
      <c r="M42" s="10">
        <v>9</v>
      </c>
      <c r="N42" s="10">
        <v>2</v>
      </c>
      <c r="O42" s="10">
        <v>1</v>
      </c>
      <c r="P42" s="10">
        <v>0</v>
      </c>
      <c r="Q42" s="10">
        <v>57</v>
      </c>
      <c r="R42" s="10">
        <v>12</v>
      </c>
      <c r="S42" s="10">
        <v>0</v>
      </c>
    </row>
    <row r="44" ht="15.75">
      <c r="A44" s="329"/>
    </row>
    <row r="53" spans="1:19" ht="15.75">
      <c r="A53" s="573" t="str">
        <f>"- "&amp;Sheet1!F37&amp;" -"</f>
        <v>- 242 -</v>
      </c>
      <c r="B53" s="573"/>
      <c r="C53" s="573"/>
      <c r="D53" s="573"/>
      <c r="E53" s="573"/>
      <c r="F53" s="573"/>
      <c r="G53" s="573"/>
      <c r="H53" s="573"/>
      <c r="I53" s="573"/>
      <c r="J53" s="573"/>
      <c r="K53" s="573" t="str">
        <f>"- "&amp;Sheet1!G37&amp;" -"</f>
        <v>- 243 -</v>
      </c>
      <c r="L53" s="573"/>
      <c r="M53" s="573"/>
      <c r="N53" s="573"/>
      <c r="O53" s="573"/>
      <c r="P53" s="573"/>
      <c r="Q53" s="573"/>
      <c r="R53" s="573"/>
      <c r="S53" s="573"/>
    </row>
  </sheetData>
  <sheetProtection/>
  <mergeCells count="28">
    <mergeCell ref="B19:B21"/>
    <mergeCell ref="B22:B24"/>
    <mergeCell ref="B37:B39"/>
    <mergeCell ref="B40:B42"/>
    <mergeCell ref="B25:B27"/>
    <mergeCell ref="B28:B30"/>
    <mergeCell ref="B31:B33"/>
    <mergeCell ref="B34:B36"/>
    <mergeCell ref="A1:J1"/>
    <mergeCell ref="K1:S1"/>
    <mergeCell ref="P5:S5"/>
    <mergeCell ref="A5:C6"/>
    <mergeCell ref="D5:D6"/>
    <mergeCell ref="E5:E6"/>
    <mergeCell ref="L3:R3"/>
    <mergeCell ref="C3:I3"/>
    <mergeCell ref="F5:J5"/>
    <mergeCell ref="K5:O5"/>
    <mergeCell ref="A53:J53"/>
    <mergeCell ref="K53:S53"/>
    <mergeCell ref="A7:A15"/>
    <mergeCell ref="A16:A24"/>
    <mergeCell ref="A25:A33"/>
    <mergeCell ref="A34:A42"/>
    <mergeCell ref="B7:B9"/>
    <mergeCell ref="B10:B12"/>
    <mergeCell ref="B13:B15"/>
    <mergeCell ref="B16:B18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="115" zoomScaleNormal="115" zoomScaleSheetLayoutView="85" zoomScalePageLayoutView="115" workbookViewId="0" topLeftCell="D28">
      <selection activeCell="F42" sqref="F42:K42"/>
    </sheetView>
  </sheetViews>
  <sheetFormatPr defaultColWidth="9.00390625" defaultRowHeight="16.5"/>
  <cols>
    <col min="1" max="1" width="31.75390625" style="77" customWidth="1"/>
    <col min="2" max="2" width="16.00390625" style="79" customWidth="1"/>
    <col min="3" max="4" width="15.125" style="79" customWidth="1"/>
    <col min="5" max="5" width="15.00390625" style="79" customWidth="1"/>
    <col min="6" max="6" width="15.875" style="79" customWidth="1"/>
    <col min="7" max="10" width="15.125" style="79" customWidth="1"/>
    <col min="11" max="11" width="16.125" style="79" customWidth="1"/>
    <col min="12" max="16384" width="9.00390625" style="79" customWidth="1"/>
  </cols>
  <sheetData>
    <row r="1" spans="1:11" s="80" customFormat="1" ht="21.75" customHeight="1">
      <c r="A1" s="459" t="s">
        <v>842</v>
      </c>
      <c r="B1" s="459"/>
      <c r="C1" s="459"/>
      <c r="D1" s="459"/>
      <c r="E1" s="459"/>
      <c r="F1" s="459" t="s">
        <v>194</v>
      </c>
      <c r="G1" s="463"/>
      <c r="H1" s="463"/>
      <c r="I1" s="463"/>
      <c r="J1" s="463"/>
      <c r="K1" s="463"/>
    </row>
    <row r="2" spans="1:11" ht="6.75" customHeight="1">
      <c r="A2" s="36"/>
      <c r="B2" s="34"/>
      <c r="C2" s="34"/>
      <c r="D2" s="34"/>
      <c r="E2" s="156"/>
      <c r="F2" s="112"/>
      <c r="G2" s="34"/>
      <c r="H2" s="34"/>
      <c r="I2" s="11"/>
      <c r="J2" s="11"/>
      <c r="K2" s="11"/>
    </row>
    <row r="3" spans="1:11" s="75" customFormat="1" ht="15" customHeight="1">
      <c r="A3" s="460" t="s">
        <v>831</v>
      </c>
      <c r="B3" s="461"/>
      <c r="C3" s="461"/>
      <c r="D3" s="461"/>
      <c r="E3" s="461"/>
      <c r="F3" s="462" t="s">
        <v>832</v>
      </c>
      <c r="G3" s="462"/>
      <c r="H3" s="462"/>
      <c r="I3" s="462"/>
      <c r="J3" s="462"/>
      <c r="K3" s="462"/>
    </row>
    <row r="4" spans="1:11" ht="4.5" customHeight="1">
      <c r="A4" s="36"/>
      <c r="B4" s="34"/>
      <c r="C4" s="34"/>
      <c r="D4" s="34"/>
      <c r="E4" s="34"/>
      <c r="F4" s="34"/>
      <c r="G4" s="34"/>
      <c r="H4" s="34"/>
      <c r="I4" s="11"/>
      <c r="J4" s="11"/>
      <c r="K4" s="11"/>
    </row>
    <row r="5" spans="1:11" s="40" customFormat="1" ht="30.75" customHeight="1">
      <c r="A5" s="52" t="s">
        <v>872</v>
      </c>
      <c r="B5" s="157" t="s">
        <v>465</v>
      </c>
      <c r="C5" s="157" t="s">
        <v>466</v>
      </c>
      <c r="D5" s="157" t="s">
        <v>467</v>
      </c>
      <c r="E5" s="157" t="s">
        <v>468</v>
      </c>
      <c r="F5" s="125" t="s">
        <v>469</v>
      </c>
      <c r="G5" s="158" t="s">
        <v>470</v>
      </c>
      <c r="H5" s="158" t="s">
        <v>471</v>
      </c>
      <c r="I5" s="158" t="s">
        <v>472</v>
      </c>
      <c r="J5" s="158" t="s">
        <v>473</v>
      </c>
      <c r="K5" s="158" t="s">
        <v>474</v>
      </c>
    </row>
    <row r="6" spans="1:11" ht="4.5" customHeight="1">
      <c r="A6" s="129"/>
      <c r="B6" s="159"/>
      <c r="C6" s="160"/>
      <c r="D6" s="160"/>
      <c r="E6" s="160"/>
      <c r="F6" s="160"/>
      <c r="G6" s="160"/>
      <c r="H6" s="160"/>
      <c r="I6" s="11"/>
      <c r="J6" s="11"/>
      <c r="K6" s="11"/>
    </row>
    <row r="7" spans="1:11" ht="52.5">
      <c r="A7" s="161" t="s">
        <v>843</v>
      </c>
      <c r="B7" s="162"/>
      <c r="C7" s="163"/>
      <c r="D7" s="163"/>
      <c r="E7" s="163"/>
      <c r="F7" s="163"/>
      <c r="G7" s="163"/>
      <c r="H7" s="164"/>
      <c r="I7" s="164"/>
      <c r="J7" s="164"/>
      <c r="K7" s="164"/>
    </row>
    <row r="8" spans="1:11" ht="15.75">
      <c r="A8" s="127" t="s">
        <v>862</v>
      </c>
      <c r="B8" s="165" t="s">
        <v>149</v>
      </c>
      <c r="C8" s="166" t="s">
        <v>149</v>
      </c>
      <c r="D8" s="166" t="s">
        <v>149</v>
      </c>
      <c r="E8" s="166" t="s">
        <v>149</v>
      </c>
      <c r="F8" s="166" t="s">
        <v>149</v>
      </c>
      <c r="G8" s="166" t="s">
        <v>149</v>
      </c>
      <c r="H8" s="166" t="s">
        <v>149</v>
      </c>
      <c r="I8" s="166" t="s">
        <v>149</v>
      </c>
      <c r="J8" s="166" t="s">
        <v>159</v>
      </c>
      <c r="K8" s="166" t="s">
        <v>150</v>
      </c>
    </row>
    <row r="9" spans="1:11" ht="15.75">
      <c r="A9" s="127" t="s">
        <v>863</v>
      </c>
      <c r="B9" s="165" t="s">
        <v>149</v>
      </c>
      <c r="C9" s="166" t="s">
        <v>149</v>
      </c>
      <c r="D9" s="166" t="s">
        <v>149</v>
      </c>
      <c r="E9" s="166" t="s">
        <v>151</v>
      </c>
      <c r="F9" s="166" t="s">
        <v>151</v>
      </c>
      <c r="G9" s="166" t="s">
        <v>151</v>
      </c>
      <c r="H9" s="166" t="s">
        <v>151</v>
      </c>
      <c r="I9" s="166" t="s">
        <v>151</v>
      </c>
      <c r="J9" s="166" t="s">
        <v>151</v>
      </c>
      <c r="K9" s="166" t="s">
        <v>160</v>
      </c>
    </row>
    <row r="10" spans="1:11" ht="15.75">
      <c r="A10" s="127" t="s">
        <v>844</v>
      </c>
      <c r="B10" s="165" t="s">
        <v>149</v>
      </c>
      <c r="C10" s="166" t="s">
        <v>149</v>
      </c>
      <c r="D10" s="166" t="s">
        <v>152</v>
      </c>
      <c r="E10" s="166" t="s">
        <v>152</v>
      </c>
      <c r="F10" s="166" t="s">
        <v>152</v>
      </c>
      <c r="G10" s="166" t="s">
        <v>152</v>
      </c>
      <c r="H10" s="166" t="s">
        <v>152</v>
      </c>
      <c r="I10" s="166" t="s">
        <v>152</v>
      </c>
      <c r="J10" s="166" t="s">
        <v>152</v>
      </c>
      <c r="K10" s="166" t="s">
        <v>160</v>
      </c>
    </row>
    <row r="11" spans="1:11" ht="39.75">
      <c r="A11" s="161" t="s">
        <v>845</v>
      </c>
      <c r="B11" s="167"/>
      <c r="C11" s="168"/>
      <c r="D11" s="168"/>
      <c r="E11" s="168"/>
      <c r="F11" s="168"/>
      <c r="G11" s="169"/>
      <c r="H11" s="169"/>
      <c r="I11" s="169"/>
      <c r="J11" s="169"/>
      <c r="K11" s="169"/>
    </row>
    <row r="12" spans="1:11" ht="52.5">
      <c r="A12" s="128" t="s">
        <v>817</v>
      </c>
      <c r="B12" s="165" t="s">
        <v>152</v>
      </c>
      <c r="C12" s="166" t="s">
        <v>475</v>
      </c>
      <c r="D12" s="166" t="s">
        <v>475</v>
      </c>
      <c r="E12" s="166" t="s">
        <v>475</v>
      </c>
      <c r="F12" s="166" t="s">
        <v>475</v>
      </c>
      <c r="G12" s="166" t="s">
        <v>475</v>
      </c>
      <c r="H12" s="166" t="s">
        <v>475</v>
      </c>
      <c r="I12" s="166" t="s">
        <v>475</v>
      </c>
      <c r="J12" s="166" t="s">
        <v>475</v>
      </c>
      <c r="K12" s="166" t="s">
        <v>475</v>
      </c>
    </row>
    <row r="13" spans="1:11" ht="39.75">
      <c r="A13" s="153" t="s">
        <v>311</v>
      </c>
      <c r="B13" s="165" t="s">
        <v>104</v>
      </c>
      <c r="C13" s="166" t="s">
        <v>475</v>
      </c>
      <c r="D13" s="166" t="s">
        <v>475</v>
      </c>
      <c r="E13" s="166" t="s">
        <v>475</v>
      </c>
      <c r="F13" s="166" t="s">
        <v>475</v>
      </c>
      <c r="G13" s="166" t="s">
        <v>475</v>
      </c>
      <c r="H13" s="170" t="s">
        <v>475</v>
      </c>
      <c r="I13" s="170" t="s">
        <v>475</v>
      </c>
      <c r="J13" s="170" t="s">
        <v>475</v>
      </c>
      <c r="K13" s="170" t="s">
        <v>475</v>
      </c>
    </row>
    <row r="14" spans="1:11" ht="39.75">
      <c r="A14" s="153" t="s">
        <v>12</v>
      </c>
      <c r="B14" s="165" t="s">
        <v>475</v>
      </c>
      <c r="C14" s="166" t="s">
        <v>152</v>
      </c>
      <c r="D14" s="166" t="s">
        <v>153</v>
      </c>
      <c r="E14" s="166" t="s">
        <v>153</v>
      </c>
      <c r="F14" s="166" t="s">
        <v>153</v>
      </c>
      <c r="G14" s="166" t="s">
        <v>153</v>
      </c>
      <c r="H14" s="166" t="s">
        <v>153</v>
      </c>
      <c r="I14" s="166" t="s">
        <v>153</v>
      </c>
      <c r="J14" s="166" t="s">
        <v>153</v>
      </c>
      <c r="K14" s="166" t="s">
        <v>153</v>
      </c>
    </row>
    <row r="15" spans="1:11" ht="15.75">
      <c r="A15" s="68" t="s">
        <v>13</v>
      </c>
      <c r="B15" s="165"/>
      <c r="C15" s="166"/>
      <c r="D15" s="166"/>
      <c r="E15" s="166"/>
      <c r="F15" s="166"/>
      <c r="G15" s="166"/>
      <c r="H15" s="166"/>
      <c r="I15" s="166"/>
      <c r="J15" s="166"/>
      <c r="K15" s="166"/>
    </row>
    <row r="16" spans="1:11" ht="15.75">
      <c r="A16" s="128" t="s">
        <v>14</v>
      </c>
      <c r="B16" s="165" t="s">
        <v>146</v>
      </c>
      <c r="C16" s="166" t="s">
        <v>146</v>
      </c>
      <c r="D16" s="166" t="s">
        <v>146</v>
      </c>
      <c r="E16" s="166" t="s">
        <v>146</v>
      </c>
      <c r="F16" s="166" t="s">
        <v>146</v>
      </c>
      <c r="G16" s="166" t="s">
        <v>146</v>
      </c>
      <c r="H16" s="166" t="s">
        <v>146</v>
      </c>
      <c r="I16" s="166" t="s">
        <v>146</v>
      </c>
      <c r="J16" s="166" t="s">
        <v>146</v>
      </c>
      <c r="K16" s="166" t="s">
        <v>146</v>
      </c>
    </row>
    <row r="17" spans="1:11" ht="15.75">
      <c r="A17" s="128" t="s">
        <v>58</v>
      </c>
      <c r="B17" s="165" t="s">
        <v>475</v>
      </c>
      <c r="C17" s="166" t="s">
        <v>475</v>
      </c>
      <c r="D17" s="166" t="s">
        <v>475</v>
      </c>
      <c r="E17" s="166" t="s">
        <v>475</v>
      </c>
      <c r="F17" s="166" t="s">
        <v>475</v>
      </c>
      <c r="G17" s="166" t="s">
        <v>475</v>
      </c>
      <c r="H17" s="166" t="s">
        <v>110</v>
      </c>
      <c r="I17" s="166" t="s">
        <v>110</v>
      </c>
      <c r="J17" s="166" t="s">
        <v>110</v>
      </c>
      <c r="K17" s="166" t="s">
        <v>475</v>
      </c>
    </row>
    <row r="18" spans="1:11" ht="15.75">
      <c r="A18" s="128" t="s">
        <v>59</v>
      </c>
      <c r="B18" s="165" t="s">
        <v>147</v>
      </c>
      <c r="C18" s="166" t="s">
        <v>147</v>
      </c>
      <c r="D18" s="166" t="s">
        <v>147</v>
      </c>
      <c r="E18" s="166" t="s">
        <v>147</v>
      </c>
      <c r="F18" s="166" t="s">
        <v>147</v>
      </c>
      <c r="G18" s="166" t="s">
        <v>147</v>
      </c>
      <c r="H18" s="166" t="s">
        <v>147</v>
      </c>
      <c r="I18" s="166" t="s">
        <v>147</v>
      </c>
      <c r="J18" s="166" t="s">
        <v>147</v>
      </c>
      <c r="K18" s="166" t="s">
        <v>147</v>
      </c>
    </row>
    <row r="19" spans="1:11" ht="15.75">
      <c r="A19" s="127" t="s">
        <v>60</v>
      </c>
      <c r="B19" s="165" t="s">
        <v>105</v>
      </c>
      <c r="C19" s="166" t="s">
        <v>105</v>
      </c>
      <c r="D19" s="166" t="s">
        <v>105</v>
      </c>
      <c r="E19" s="166" t="s">
        <v>148</v>
      </c>
      <c r="F19" s="166" t="s">
        <v>148</v>
      </c>
      <c r="G19" s="166" t="s">
        <v>148</v>
      </c>
      <c r="H19" s="166" t="s">
        <v>148</v>
      </c>
      <c r="I19" s="166" t="s">
        <v>148</v>
      </c>
      <c r="J19" s="166" t="s">
        <v>148</v>
      </c>
      <c r="K19" s="166" t="s">
        <v>148</v>
      </c>
    </row>
    <row r="20" spans="1:11" ht="39.75">
      <c r="A20" s="128" t="s">
        <v>390</v>
      </c>
      <c r="B20" s="165" t="s">
        <v>475</v>
      </c>
      <c r="C20" s="166" t="s">
        <v>475</v>
      </c>
      <c r="D20" s="166" t="s">
        <v>475</v>
      </c>
      <c r="E20" s="166" t="s">
        <v>110</v>
      </c>
      <c r="F20" s="166" t="s">
        <v>110</v>
      </c>
      <c r="G20" s="166" t="s">
        <v>475</v>
      </c>
      <c r="H20" s="166" t="s">
        <v>475</v>
      </c>
      <c r="I20" s="166" t="s">
        <v>475</v>
      </c>
      <c r="J20" s="166" t="s">
        <v>475</v>
      </c>
      <c r="K20" s="166" t="s">
        <v>475</v>
      </c>
    </row>
    <row r="21" spans="1:11" ht="15.75">
      <c r="A21" s="171" t="s">
        <v>61</v>
      </c>
      <c r="B21" s="165" t="s">
        <v>104</v>
      </c>
      <c r="C21" s="166" t="s">
        <v>104</v>
      </c>
      <c r="D21" s="166" t="s">
        <v>104</v>
      </c>
      <c r="E21" s="166" t="s">
        <v>104</v>
      </c>
      <c r="F21" s="166" t="s">
        <v>104</v>
      </c>
      <c r="G21" s="166" t="s">
        <v>104</v>
      </c>
      <c r="H21" s="166" t="s">
        <v>104</v>
      </c>
      <c r="I21" s="166" t="s">
        <v>104</v>
      </c>
      <c r="J21" s="166" t="s">
        <v>104</v>
      </c>
      <c r="K21" s="166" t="s">
        <v>104</v>
      </c>
    </row>
    <row r="22" spans="1:11" ht="15.75">
      <c r="A22" s="331" t="s">
        <v>62</v>
      </c>
      <c r="B22" s="332" t="s">
        <v>110</v>
      </c>
      <c r="C22" s="333" t="s">
        <v>110</v>
      </c>
      <c r="D22" s="333" t="s">
        <v>110</v>
      </c>
      <c r="E22" s="333" t="s">
        <v>104</v>
      </c>
      <c r="F22" s="333" t="s">
        <v>104</v>
      </c>
      <c r="G22" s="333" t="s">
        <v>104</v>
      </c>
      <c r="H22" s="333" t="s">
        <v>104</v>
      </c>
      <c r="I22" s="333" t="s">
        <v>104</v>
      </c>
      <c r="J22" s="333" t="s">
        <v>104</v>
      </c>
      <c r="K22" s="333" t="s">
        <v>104</v>
      </c>
    </row>
    <row r="23" spans="1:11" ht="18" customHeight="1">
      <c r="A23" s="127"/>
      <c r="B23" s="166"/>
      <c r="C23" s="166"/>
      <c r="D23" s="166"/>
      <c r="E23" s="166"/>
      <c r="F23" s="166"/>
      <c r="G23" s="166"/>
      <c r="H23" s="166"/>
      <c r="I23" s="166"/>
      <c r="J23" s="166"/>
      <c r="K23" s="166"/>
    </row>
    <row r="24" spans="1:11" ht="15.75">
      <c r="A24" s="453" t="s">
        <v>818</v>
      </c>
      <c r="B24" s="457"/>
      <c r="C24" s="457"/>
      <c r="D24" s="457"/>
      <c r="E24" s="457"/>
      <c r="F24" s="451" t="s">
        <v>819</v>
      </c>
      <c r="G24" s="464"/>
      <c r="H24" s="464"/>
      <c r="I24" s="464"/>
      <c r="J24" s="464"/>
      <c r="K24" s="464"/>
    </row>
    <row r="25" spans="1:11" ht="15.75">
      <c r="A25" s="453" t="s">
        <v>820</v>
      </c>
      <c r="B25" s="456"/>
      <c r="C25" s="456"/>
      <c r="D25" s="456"/>
      <c r="E25" s="456"/>
      <c r="F25" s="456" t="s">
        <v>821</v>
      </c>
      <c r="G25" s="456"/>
      <c r="H25" s="456"/>
      <c r="I25" s="456"/>
      <c r="J25" s="456"/>
      <c r="K25" s="456"/>
    </row>
    <row r="26" spans="1:11" ht="15.75">
      <c r="A26" s="453" t="s">
        <v>166</v>
      </c>
      <c r="B26" s="453"/>
      <c r="C26" s="453"/>
      <c r="D26" s="453"/>
      <c r="E26" s="453"/>
      <c r="F26" s="456" t="s">
        <v>822</v>
      </c>
      <c r="G26" s="456"/>
      <c r="H26" s="456"/>
      <c r="I26" s="456"/>
      <c r="J26" s="456"/>
      <c r="K26" s="456"/>
    </row>
    <row r="27" spans="1:11" ht="15.75">
      <c r="A27" s="457" t="s">
        <v>35</v>
      </c>
      <c r="B27" s="457"/>
      <c r="C27" s="457"/>
      <c r="D27" s="457"/>
      <c r="E27" s="457"/>
      <c r="F27" s="451" t="s">
        <v>178</v>
      </c>
      <c r="G27" s="451"/>
      <c r="H27" s="451"/>
      <c r="I27" s="451"/>
      <c r="J27" s="451"/>
      <c r="K27" s="451"/>
    </row>
    <row r="28" spans="1:11" ht="15.75">
      <c r="A28" s="452" t="s">
        <v>823</v>
      </c>
      <c r="B28" s="452"/>
      <c r="C28" s="452"/>
      <c r="D28" s="452"/>
      <c r="E28" s="452"/>
      <c r="F28" s="451" t="s">
        <v>824</v>
      </c>
      <c r="G28" s="451"/>
      <c r="H28" s="451"/>
      <c r="I28" s="451"/>
      <c r="J28" s="451"/>
      <c r="K28" s="451"/>
    </row>
    <row r="29" spans="1:11" ht="15.75">
      <c r="A29" s="453" t="s">
        <v>167</v>
      </c>
      <c r="B29" s="453"/>
      <c r="C29" s="453"/>
      <c r="D29" s="453"/>
      <c r="E29" s="453"/>
      <c r="F29" s="451" t="s">
        <v>825</v>
      </c>
      <c r="G29" s="451"/>
      <c r="H29" s="451"/>
      <c r="I29" s="451"/>
      <c r="J29" s="451"/>
      <c r="K29" s="451"/>
    </row>
    <row r="30" spans="1:11" ht="15.75">
      <c r="A30" s="457" t="s">
        <v>826</v>
      </c>
      <c r="B30" s="457"/>
      <c r="C30" s="457"/>
      <c r="D30" s="457"/>
      <c r="E30" s="457"/>
      <c r="F30" s="451" t="s">
        <v>827</v>
      </c>
      <c r="G30" s="451"/>
      <c r="H30" s="451"/>
      <c r="I30" s="451"/>
      <c r="J30" s="451"/>
      <c r="K30" s="451"/>
    </row>
    <row r="31" spans="1:11" ht="15.75" customHeight="1">
      <c r="A31" s="450"/>
      <c r="B31" s="450"/>
      <c r="C31" s="450"/>
      <c r="D31" s="450"/>
      <c r="E31" s="450"/>
      <c r="F31" s="451" t="s">
        <v>828</v>
      </c>
      <c r="G31" s="451"/>
      <c r="H31" s="451"/>
      <c r="I31" s="451"/>
      <c r="J31" s="451"/>
      <c r="K31" s="451"/>
    </row>
    <row r="32" spans="1:11" ht="15.75">
      <c r="A32" s="173"/>
      <c r="B32" s="11"/>
      <c r="C32" s="11"/>
      <c r="D32" s="11"/>
      <c r="E32" s="11"/>
      <c r="F32" s="455" t="s">
        <v>179</v>
      </c>
      <c r="G32" s="455"/>
      <c r="H32" s="455"/>
      <c r="I32" s="455"/>
      <c r="J32" s="455"/>
      <c r="K32" s="455"/>
    </row>
    <row r="33" spans="6:11" ht="15.75" customHeight="1">
      <c r="F33" s="455" t="s">
        <v>180</v>
      </c>
      <c r="G33" s="455"/>
      <c r="H33" s="455"/>
      <c r="I33" s="455"/>
      <c r="J33" s="455"/>
      <c r="K33" s="455"/>
    </row>
    <row r="34" spans="6:11" ht="15.75">
      <c r="F34" s="455" t="s">
        <v>829</v>
      </c>
      <c r="G34" s="451"/>
      <c r="H34" s="451"/>
      <c r="I34" s="451"/>
      <c r="J34" s="451"/>
      <c r="K34" s="451"/>
    </row>
    <row r="35" spans="6:11" ht="15.75">
      <c r="F35" s="454"/>
      <c r="G35" s="454"/>
      <c r="H35" s="454"/>
      <c r="I35" s="454"/>
      <c r="J35" s="454"/>
      <c r="K35" s="454"/>
    </row>
    <row r="42" spans="1:11" ht="15.75">
      <c r="A42" s="458" t="str">
        <f>"- "&amp;Sheet1!B25&amp;" -"</f>
        <v>- 148 -</v>
      </c>
      <c r="B42" s="458"/>
      <c r="C42" s="458"/>
      <c r="D42" s="458"/>
      <c r="E42" s="458"/>
      <c r="F42" s="458" t="str">
        <f>"- "&amp;Sheet1!C25&amp;" -"</f>
        <v>- 149 -</v>
      </c>
      <c r="G42" s="458"/>
      <c r="H42" s="458"/>
      <c r="I42" s="458"/>
      <c r="J42" s="458"/>
      <c r="K42" s="458"/>
    </row>
    <row r="44" ht="15.75">
      <c r="A44" s="330"/>
    </row>
  </sheetData>
  <sheetProtection/>
  <mergeCells count="26">
    <mergeCell ref="F42:K42"/>
    <mergeCell ref="A42:E42"/>
    <mergeCell ref="A1:E1"/>
    <mergeCell ref="A3:E3"/>
    <mergeCell ref="F3:K3"/>
    <mergeCell ref="F1:K1"/>
    <mergeCell ref="A24:E24"/>
    <mergeCell ref="F24:K24"/>
    <mergeCell ref="A27:E27"/>
    <mergeCell ref="F27:K27"/>
    <mergeCell ref="F35:K35"/>
    <mergeCell ref="F33:K33"/>
    <mergeCell ref="A25:E25"/>
    <mergeCell ref="F25:K25"/>
    <mergeCell ref="A26:E26"/>
    <mergeCell ref="F26:K26"/>
    <mergeCell ref="F32:K32"/>
    <mergeCell ref="F34:K34"/>
    <mergeCell ref="A30:E30"/>
    <mergeCell ref="F30:K30"/>
    <mergeCell ref="A31:E31"/>
    <mergeCell ref="F31:K31"/>
    <mergeCell ref="A28:E28"/>
    <mergeCell ref="F28:K28"/>
    <mergeCell ref="A29:E29"/>
    <mergeCell ref="F29:K29"/>
  </mergeCells>
  <printOptions/>
  <pageMargins left="0.6299212598425197" right="0.31496062992125984" top="0.5511811023622047" bottom="0.009057971014492754" header="0.5118110236220472" footer="0.7086614173228347"/>
  <pageSetup fitToHeight="2"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R53"/>
  <sheetViews>
    <sheetView view="pageLayout" zoomScaleSheetLayoutView="85" workbookViewId="0" topLeftCell="A34">
      <selection activeCell="A53" sqref="A53:J53"/>
    </sheetView>
  </sheetViews>
  <sheetFormatPr defaultColWidth="9.00390625" defaultRowHeight="16.5"/>
  <cols>
    <col min="1" max="1" width="6.50390625" style="85" customWidth="1"/>
    <col min="2" max="2" width="9.375" style="85" customWidth="1"/>
    <col min="3" max="3" width="10.25390625" style="85" customWidth="1"/>
    <col min="4" max="4" width="11.00390625" style="85" customWidth="1"/>
    <col min="5" max="5" width="9.125" style="85" customWidth="1"/>
    <col min="6" max="14" width="8.75390625" style="85" customWidth="1"/>
    <col min="15" max="15" width="9.0039062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125" style="85" customWidth="1"/>
    <col min="20" max="16384" width="9.00390625" style="85" customWidth="1"/>
  </cols>
  <sheetData>
    <row r="1" spans="1:19" s="98" customFormat="1" ht="21.75" customHeight="1">
      <c r="A1" s="539" t="s">
        <v>608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232</v>
      </c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33"/>
      <c r="B2" s="33"/>
      <c r="C2" s="33"/>
      <c r="D2" s="33"/>
      <c r="E2" s="33"/>
      <c r="F2" s="33"/>
      <c r="G2" s="33"/>
      <c r="H2" s="33"/>
      <c r="I2" s="33"/>
      <c r="J2" s="2"/>
      <c r="K2" s="2"/>
      <c r="L2" s="33"/>
      <c r="M2" s="33"/>
      <c r="N2" s="33"/>
      <c r="O2" s="33"/>
      <c r="P2" s="33"/>
      <c r="Q2" s="33"/>
      <c r="R2" s="33"/>
      <c r="S2" s="33"/>
    </row>
    <row r="3" spans="1:19" s="97" customFormat="1" ht="15" customHeight="1">
      <c r="A3" s="66"/>
      <c r="B3" s="66"/>
      <c r="C3" s="460" t="s">
        <v>831</v>
      </c>
      <c r="D3" s="461"/>
      <c r="E3" s="461"/>
      <c r="F3" s="461"/>
      <c r="G3" s="461"/>
      <c r="H3" s="461"/>
      <c r="I3" s="461"/>
      <c r="J3" s="4" t="s">
        <v>68</v>
      </c>
      <c r="K3" s="5"/>
      <c r="L3" s="595" t="s">
        <v>832</v>
      </c>
      <c r="M3" s="595"/>
      <c r="N3" s="595"/>
      <c r="O3" s="595"/>
      <c r="P3" s="595"/>
      <c r="Q3" s="595"/>
      <c r="R3" s="595"/>
      <c r="S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69</v>
      </c>
      <c r="E5" s="507" t="s">
        <v>986</v>
      </c>
      <c r="F5" s="495" t="s">
        <v>70</v>
      </c>
      <c r="G5" s="596"/>
      <c r="H5" s="596"/>
      <c r="I5" s="596"/>
      <c r="J5" s="596"/>
      <c r="K5" s="487" t="s">
        <v>988</v>
      </c>
      <c r="L5" s="596"/>
      <c r="M5" s="596"/>
      <c r="N5" s="596"/>
      <c r="O5" s="597"/>
      <c r="P5" s="495" t="s">
        <v>71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327" t="s">
        <v>789</v>
      </c>
      <c r="K6" s="52" t="s">
        <v>790</v>
      </c>
      <c r="L6" s="52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937</v>
      </c>
      <c r="S6" s="120" t="s">
        <v>711</v>
      </c>
    </row>
    <row r="7" spans="1:44" s="93" customFormat="1" ht="13.5" customHeight="1">
      <c r="A7" s="541" t="s">
        <v>606</v>
      </c>
      <c r="B7" s="507" t="s">
        <v>533</v>
      </c>
      <c r="C7" s="234" t="s">
        <v>990</v>
      </c>
      <c r="D7" s="54">
        <v>115</v>
      </c>
      <c r="E7" s="55">
        <v>39</v>
      </c>
      <c r="F7" s="55">
        <v>0</v>
      </c>
      <c r="G7" s="55">
        <v>3</v>
      </c>
      <c r="H7" s="55">
        <v>13</v>
      </c>
      <c r="I7" s="55">
        <v>12</v>
      </c>
      <c r="J7" s="55">
        <v>29</v>
      </c>
      <c r="K7" s="55">
        <v>18</v>
      </c>
      <c r="L7" s="55">
        <v>30</v>
      </c>
      <c r="M7" s="55">
        <v>9</v>
      </c>
      <c r="N7" s="55">
        <v>1</v>
      </c>
      <c r="O7" s="55">
        <v>0</v>
      </c>
      <c r="P7" s="55">
        <v>2</v>
      </c>
      <c r="Q7" s="55">
        <v>107</v>
      </c>
      <c r="R7" s="55">
        <v>6</v>
      </c>
      <c r="S7" s="55">
        <v>0</v>
      </c>
      <c r="T7" s="31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542"/>
      <c r="B8" s="516"/>
      <c r="C8" s="124" t="s">
        <v>991</v>
      </c>
      <c r="D8" s="24">
        <v>41</v>
      </c>
      <c r="E8" s="10">
        <v>40</v>
      </c>
      <c r="F8" s="10">
        <v>0</v>
      </c>
      <c r="G8" s="10">
        <v>1</v>
      </c>
      <c r="H8" s="10">
        <v>3</v>
      </c>
      <c r="I8" s="10">
        <v>3</v>
      </c>
      <c r="J8" s="10">
        <v>12</v>
      </c>
      <c r="K8" s="10">
        <v>6</v>
      </c>
      <c r="L8" s="10">
        <v>14</v>
      </c>
      <c r="M8" s="10">
        <v>2</v>
      </c>
      <c r="N8" s="10">
        <v>0</v>
      </c>
      <c r="O8" s="10">
        <v>0</v>
      </c>
      <c r="P8" s="10">
        <v>1</v>
      </c>
      <c r="Q8" s="10">
        <v>38</v>
      </c>
      <c r="R8" s="10">
        <v>2</v>
      </c>
      <c r="S8" s="10">
        <v>0</v>
      </c>
      <c r="T8" s="31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542"/>
      <c r="B9" s="517"/>
      <c r="C9" s="235" t="s">
        <v>992</v>
      </c>
      <c r="D9" s="24">
        <v>74</v>
      </c>
      <c r="E9" s="10">
        <v>39</v>
      </c>
      <c r="F9" s="10">
        <v>0</v>
      </c>
      <c r="G9" s="10">
        <v>2</v>
      </c>
      <c r="H9" s="10">
        <v>10</v>
      </c>
      <c r="I9" s="10">
        <v>9</v>
      </c>
      <c r="J9" s="10">
        <v>17</v>
      </c>
      <c r="K9" s="10">
        <v>12</v>
      </c>
      <c r="L9" s="10">
        <v>16</v>
      </c>
      <c r="M9" s="10">
        <v>7</v>
      </c>
      <c r="N9" s="10">
        <v>1</v>
      </c>
      <c r="O9" s="10">
        <v>0</v>
      </c>
      <c r="P9" s="10">
        <v>1</v>
      </c>
      <c r="Q9" s="10">
        <v>69</v>
      </c>
      <c r="R9" s="10">
        <v>4</v>
      </c>
      <c r="S9" s="10">
        <v>0</v>
      </c>
      <c r="T9" s="31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20" s="93" customFormat="1" ht="13.5" customHeight="1">
      <c r="A10" s="542"/>
      <c r="B10" s="491" t="s">
        <v>534</v>
      </c>
      <c r="C10" s="234" t="s">
        <v>990</v>
      </c>
      <c r="D10" s="54">
        <v>60</v>
      </c>
      <c r="E10" s="55">
        <v>41</v>
      </c>
      <c r="F10" s="55">
        <v>0</v>
      </c>
      <c r="G10" s="55">
        <v>0</v>
      </c>
      <c r="H10" s="55">
        <v>8</v>
      </c>
      <c r="I10" s="55">
        <v>7</v>
      </c>
      <c r="J10" s="55">
        <v>6</v>
      </c>
      <c r="K10" s="55">
        <v>18</v>
      </c>
      <c r="L10" s="55">
        <v>9</v>
      </c>
      <c r="M10" s="55">
        <v>9</v>
      </c>
      <c r="N10" s="55">
        <v>3</v>
      </c>
      <c r="O10" s="55">
        <v>0</v>
      </c>
      <c r="P10" s="55">
        <v>6</v>
      </c>
      <c r="Q10" s="55">
        <v>48</v>
      </c>
      <c r="R10" s="55">
        <v>6</v>
      </c>
      <c r="S10" s="55">
        <v>0</v>
      </c>
      <c r="T10" s="313"/>
    </row>
    <row r="11" spans="1:20" s="93" customFormat="1" ht="13.5" customHeight="1">
      <c r="A11" s="542"/>
      <c r="B11" s="492"/>
      <c r="C11" s="124" t="s">
        <v>991</v>
      </c>
      <c r="D11" s="64">
        <v>15</v>
      </c>
      <c r="E11" s="49">
        <v>43</v>
      </c>
      <c r="F11" s="58">
        <v>0</v>
      </c>
      <c r="G11" s="49">
        <v>0</v>
      </c>
      <c r="H11" s="49">
        <v>1</v>
      </c>
      <c r="I11" s="49">
        <v>1</v>
      </c>
      <c r="J11" s="59">
        <v>2</v>
      </c>
      <c r="K11" s="58">
        <v>5</v>
      </c>
      <c r="L11" s="58">
        <v>2</v>
      </c>
      <c r="M11" s="58">
        <v>4</v>
      </c>
      <c r="N11" s="58">
        <v>0</v>
      </c>
      <c r="O11" s="58">
        <v>0</v>
      </c>
      <c r="P11" s="58">
        <v>0</v>
      </c>
      <c r="Q11" s="58">
        <v>12</v>
      </c>
      <c r="R11" s="58">
        <v>3</v>
      </c>
      <c r="S11" s="58">
        <v>0</v>
      </c>
      <c r="T11" s="313"/>
    </row>
    <row r="12" spans="1:20" s="93" customFormat="1" ht="13.5" customHeight="1">
      <c r="A12" s="542"/>
      <c r="B12" s="493"/>
      <c r="C12" s="235" t="s">
        <v>992</v>
      </c>
      <c r="D12" s="64">
        <v>45</v>
      </c>
      <c r="E12" s="49">
        <v>40</v>
      </c>
      <c r="F12" s="58">
        <v>0</v>
      </c>
      <c r="G12" s="49">
        <v>0</v>
      </c>
      <c r="H12" s="49">
        <v>7</v>
      </c>
      <c r="I12" s="49">
        <v>6</v>
      </c>
      <c r="J12" s="59">
        <v>4</v>
      </c>
      <c r="K12" s="58">
        <v>13</v>
      </c>
      <c r="L12" s="58">
        <v>7</v>
      </c>
      <c r="M12" s="58">
        <v>5</v>
      </c>
      <c r="N12" s="58">
        <v>3</v>
      </c>
      <c r="O12" s="58">
        <v>0</v>
      </c>
      <c r="P12" s="58">
        <v>6</v>
      </c>
      <c r="Q12" s="58">
        <v>36</v>
      </c>
      <c r="R12" s="58">
        <v>3</v>
      </c>
      <c r="S12" s="58">
        <v>0</v>
      </c>
      <c r="T12" s="313"/>
    </row>
    <row r="13" spans="1:20" s="93" customFormat="1" ht="13.5" customHeight="1">
      <c r="A13" s="542"/>
      <c r="B13" s="491" t="s">
        <v>535</v>
      </c>
      <c r="C13" s="234" t="s">
        <v>990</v>
      </c>
      <c r="D13" s="54">
        <v>17</v>
      </c>
      <c r="E13" s="55">
        <v>41</v>
      </c>
      <c r="F13" s="55">
        <v>0</v>
      </c>
      <c r="G13" s="55">
        <v>0</v>
      </c>
      <c r="H13" s="55">
        <v>1</v>
      </c>
      <c r="I13" s="55">
        <v>1</v>
      </c>
      <c r="J13" s="55">
        <v>5</v>
      </c>
      <c r="K13" s="55">
        <v>4</v>
      </c>
      <c r="L13" s="55">
        <v>6</v>
      </c>
      <c r="M13" s="55">
        <v>0</v>
      </c>
      <c r="N13" s="55">
        <v>0</v>
      </c>
      <c r="O13" s="55">
        <v>0</v>
      </c>
      <c r="P13" s="55">
        <v>1</v>
      </c>
      <c r="Q13" s="55">
        <v>16</v>
      </c>
      <c r="R13" s="55">
        <v>0</v>
      </c>
      <c r="S13" s="55">
        <v>0</v>
      </c>
      <c r="T13" s="313"/>
    </row>
    <row r="14" spans="1:20" s="93" customFormat="1" ht="13.5" customHeight="1">
      <c r="A14" s="538" t="s">
        <v>607</v>
      </c>
      <c r="B14" s="492"/>
      <c r="C14" s="124" t="s">
        <v>991</v>
      </c>
      <c r="D14" s="64">
        <v>2</v>
      </c>
      <c r="E14" s="49">
        <v>41</v>
      </c>
      <c r="F14" s="58">
        <v>0</v>
      </c>
      <c r="G14" s="49">
        <v>0</v>
      </c>
      <c r="H14" s="49">
        <v>0</v>
      </c>
      <c r="I14" s="49">
        <v>0</v>
      </c>
      <c r="J14" s="59">
        <v>0</v>
      </c>
      <c r="K14" s="58">
        <v>2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2</v>
      </c>
      <c r="R14" s="58">
        <v>0</v>
      </c>
      <c r="S14" s="58">
        <v>0</v>
      </c>
      <c r="T14" s="313"/>
    </row>
    <row r="15" spans="1:20" s="93" customFormat="1" ht="13.5" customHeight="1">
      <c r="A15" s="538"/>
      <c r="B15" s="493"/>
      <c r="C15" s="235" t="s">
        <v>992</v>
      </c>
      <c r="D15" s="64">
        <v>15</v>
      </c>
      <c r="E15" s="49">
        <v>41</v>
      </c>
      <c r="F15" s="58">
        <v>0</v>
      </c>
      <c r="G15" s="49">
        <v>0</v>
      </c>
      <c r="H15" s="49">
        <v>1</v>
      </c>
      <c r="I15" s="49">
        <v>1</v>
      </c>
      <c r="J15" s="59">
        <v>5</v>
      </c>
      <c r="K15" s="58">
        <v>2</v>
      </c>
      <c r="L15" s="58">
        <v>6</v>
      </c>
      <c r="M15" s="58">
        <v>0</v>
      </c>
      <c r="N15" s="58">
        <v>0</v>
      </c>
      <c r="O15" s="58">
        <v>0</v>
      </c>
      <c r="P15" s="58">
        <v>1</v>
      </c>
      <c r="Q15" s="58">
        <v>14</v>
      </c>
      <c r="R15" s="58">
        <v>0</v>
      </c>
      <c r="S15" s="58">
        <v>0</v>
      </c>
      <c r="T15" s="313"/>
    </row>
    <row r="16" spans="1:20" s="93" customFormat="1" ht="13.5" customHeight="1">
      <c r="A16" s="538"/>
      <c r="B16" s="491" t="s">
        <v>536</v>
      </c>
      <c r="C16" s="234" t="s">
        <v>990</v>
      </c>
      <c r="D16" s="54">
        <v>26</v>
      </c>
      <c r="E16" s="55">
        <v>38</v>
      </c>
      <c r="F16" s="55">
        <v>0</v>
      </c>
      <c r="G16" s="55">
        <v>0</v>
      </c>
      <c r="H16" s="55">
        <v>5</v>
      </c>
      <c r="I16" s="55">
        <v>3</v>
      </c>
      <c r="J16" s="55">
        <v>6</v>
      </c>
      <c r="K16" s="55">
        <v>3</v>
      </c>
      <c r="L16" s="55">
        <v>7</v>
      </c>
      <c r="M16" s="55">
        <v>2</v>
      </c>
      <c r="N16" s="55">
        <v>0</v>
      </c>
      <c r="O16" s="55">
        <v>0</v>
      </c>
      <c r="P16" s="55">
        <v>2</v>
      </c>
      <c r="Q16" s="55">
        <v>22</v>
      </c>
      <c r="R16" s="55">
        <v>2</v>
      </c>
      <c r="S16" s="55">
        <v>0</v>
      </c>
      <c r="T16" s="313"/>
    </row>
    <row r="17" spans="1:20" s="93" customFormat="1" ht="13.5" customHeight="1">
      <c r="A17" s="538"/>
      <c r="B17" s="492"/>
      <c r="C17" s="124" t="s">
        <v>991</v>
      </c>
      <c r="D17" s="64">
        <v>7</v>
      </c>
      <c r="E17" s="49">
        <v>42</v>
      </c>
      <c r="F17" s="49">
        <v>0</v>
      </c>
      <c r="G17" s="49">
        <v>0</v>
      </c>
      <c r="H17" s="49">
        <v>1</v>
      </c>
      <c r="I17" s="49">
        <v>1</v>
      </c>
      <c r="J17" s="49">
        <v>0</v>
      </c>
      <c r="K17" s="49">
        <v>1</v>
      </c>
      <c r="L17" s="49">
        <v>2</v>
      </c>
      <c r="M17" s="49">
        <v>2</v>
      </c>
      <c r="N17" s="49">
        <v>0</v>
      </c>
      <c r="O17" s="49">
        <v>0</v>
      </c>
      <c r="P17" s="49">
        <v>1</v>
      </c>
      <c r="Q17" s="49">
        <v>6</v>
      </c>
      <c r="R17" s="49">
        <v>0</v>
      </c>
      <c r="S17" s="49">
        <v>0</v>
      </c>
      <c r="T17" s="313"/>
    </row>
    <row r="18" spans="1:20" s="93" customFormat="1" ht="13.5" customHeight="1">
      <c r="A18" s="538"/>
      <c r="B18" s="492"/>
      <c r="C18" s="235" t="s">
        <v>992</v>
      </c>
      <c r="D18" s="64">
        <v>19</v>
      </c>
      <c r="E18" s="49">
        <v>37</v>
      </c>
      <c r="F18" s="49">
        <v>0</v>
      </c>
      <c r="G18" s="49">
        <v>0</v>
      </c>
      <c r="H18" s="49">
        <v>4</v>
      </c>
      <c r="I18" s="49">
        <v>2</v>
      </c>
      <c r="J18" s="49">
        <v>6</v>
      </c>
      <c r="K18" s="49">
        <v>2</v>
      </c>
      <c r="L18" s="49">
        <v>5</v>
      </c>
      <c r="M18" s="49">
        <v>0</v>
      </c>
      <c r="N18" s="49">
        <v>0</v>
      </c>
      <c r="O18" s="49">
        <v>0</v>
      </c>
      <c r="P18" s="49">
        <v>1</v>
      </c>
      <c r="Q18" s="49">
        <v>16</v>
      </c>
      <c r="R18" s="49">
        <v>2</v>
      </c>
      <c r="S18" s="49">
        <v>0</v>
      </c>
      <c r="T18" s="313"/>
    </row>
    <row r="19" spans="1:20" s="93" customFormat="1" ht="13.5" customHeight="1">
      <c r="A19" s="538"/>
      <c r="B19" s="491" t="s">
        <v>537</v>
      </c>
      <c r="C19" s="234" t="s">
        <v>990</v>
      </c>
      <c r="D19" s="54">
        <v>34</v>
      </c>
      <c r="E19" s="55">
        <v>39</v>
      </c>
      <c r="F19" s="55">
        <v>0</v>
      </c>
      <c r="G19" s="55">
        <v>0</v>
      </c>
      <c r="H19" s="55">
        <v>5</v>
      </c>
      <c r="I19" s="55">
        <v>8</v>
      </c>
      <c r="J19" s="55">
        <v>6</v>
      </c>
      <c r="K19" s="55">
        <v>11</v>
      </c>
      <c r="L19" s="55">
        <v>3</v>
      </c>
      <c r="M19" s="55">
        <v>1</v>
      </c>
      <c r="N19" s="55">
        <v>0</v>
      </c>
      <c r="O19" s="55">
        <v>0</v>
      </c>
      <c r="P19" s="55">
        <v>2</v>
      </c>
      <c r="Q19" s="55">
        <v>22</v>
      </c>
      <c r="R19" s="55">
        <v>10</v>
      </c>
      <c r="S19" s="55">
        <v>0</v>
      </c>
      <c r="T19" s="313"/>
    </row>
    <row r="20" spans="1:20" s="93" customFormat="1" ht="13.5" customHeight="1">
      <c r="A20" s="538"/>
      <c r="B20" s="492"/>
      <c r="C20" s="124" t="s">
        <v>991</v>
      </c>
      <c r="D20" s="64">
        <v>7</v>
      </c>
      <c r="E20" s="49">
        <v>40</v>
      </c>
      <c r="F20" s="58">
        <v>0</v>
      </c>
      <c r="G20" s="49">
        <v>0</v>
      </c>
      <c r="H20" s="49">
        <v>0</v>
      </c>
      <c r="I20" s="49">
        <v>3</v>
      </c>
      <c r="J20" s="59">
        <v>2</v>
      </c>
      <c r="K20" s="58">
        <v>1</v>
      </c>
      <c r="L20" s="58">
        <v>1</v>
      </c>
      <c r="M20" s="58">
        <v>0</v>
      </c>
      <c r="N20" s="58">
        <v>0</v>
      </c>
      <c r="O20" s="58">
        <v>0</v>
      </c>
      <c r="P20" s="58">
        <v>1</v>
      </c>
      <c r="Q20" s="58">
        <v>5</v>
      </c>
      <c r="R20" s="58">
        <v>1</v>
      </c>
      <c r="S20" s="58">
        <v>0</v>
      </c>
      <c r="T20" s="313"/>
    </row>
    <row r="21" spans="1:20" s="93" customFormat="1" ht="13.5" customHeight="1">
      <c r="A21" s="538"/>
      <c r="B21" s="492"/>
      <c r="C21" s="235" t="s">
        <v>992</v>
      </c>
      <c r="D21" s="64">
        <v>27</v>
      </c>
      <c r="E21" s="49">
        <v>38</v>
      </c>
      <c r="F21" s="58">
        <v>0</v>
      </c>
      <c r="G21" s="49">
        <v>0</v>
      </c>
      <c r="H21" s="49">
        <v>5</v>
      </c>
      <c r="I21" s="49">
        <v>5</v>
      </c>
      <c r="J21" s="59">
        <v>4</v>
      </c>
      <c r="K21" s="58">
        <v>10</v>
      </c>
      <c r="L21" s="58">
        <v>2</v>
      </c>
      <c r="M21" s="58">
        <v>1</v>
      </c>
      <c r="N21" s="58">
        <v>0</v>
      </c>
      <c r="O21" s="58">
        <v>0</v>
      </c>
      <c r="P21" s="58">
        <v>1</v>
      </c>
      <c r="Q21" s="58">
        <v>17</v>
      </c>
      <c r="R21" s="58">
        <v>9</v>
      </c>
      <c r="S21" s="58">
        <v>0</v>
      </c>
      <c r="T21" s="313"/>
    </row>
    <row r="22" spans="1:20" s="93" customFormat="1" ht="13.5" customHeight="1">
      <c r="A22" s="541" t="s">
        <v>609</v>
      </c>
      <c r="B22" s="536" t="s">
        <v>580</v>
      </c>
      <c r="C22" s="234" t="s">
        <v>990</v>
      </c>
      <c r="D22" s="140">
        <f>SUM(D25,D28,D31,D34,D37,D40,'表36(續完)'!D7,'表36(續完)'!D10,'表36(續完)'!D13,'表36(續完)'!D16)</f>
        <v>782</v>
      </c>
      <c r="E22" s="56">
        <f>(SUM(E25,E28,E31,E34,E37,E40,'表36(續完)'!E7,'表36(續完)'!E10,'表36(續完)'!E13,'表36(續完)'!E16))/10</f>
        <v>45.2</v>
      </c>
      <c r="F22" s="56">
        <v>0</v>
      </c>
      <c r="G22" s="56">
        <v>0</v>
      </c>
      <c r="H22" s="56">
        <v>1</v>
      </c>
      <c r="I22" s="56">
        <v>13</v>
      </c>
      <c r="J22" s="56">
        <v>112</v>
      </c>
      <c r="K22" s="56">
        <v>200</v>
      </c>
      <c r="L22" s="56">
        <v>254</v>
      </c>
      <c r="M22" s="56">
        <v>145</v>
      </c>
      <c r="N22" s="56">
        <v>46</v>
      </c>
      <c r="O22" s="56">
        <v>11</v>
      </c>
      <c r="P22" s="56">
        <v>209</v>
      </c>
      <c r="Q22" s="56">
        <v>545</v>
      </c>
      <c r="R22" s="56">
        <v>28</v>
      </c>
      <c r="S22" s="56">
        <v>0</v>
      </c>
      <c r="T22" s="313"/>
    </row>
    <row r="23" spans="1:20" s="93" customFormat="1" ht="13.5" customHeight="1">
      <c r="A23" s="542"/>
      <c r="B23" s="492"/>
      <c r="C23" s="124" t="s">
        <v>991</v>
      </c>
      <c r="D23" s="24">
        <f>SUM(D26,D29,D32,D35,D38,D41,'表36(續完)'!D8,'表36(續完)'!D11,'表36(續完)'!D14,'表36(續完)'!D17)</f>
        <v>428</v>
      </c>
      <c r="E23" s="49">
        <f>(SUM(E26,E29,E32,E35,E38,E41,'表36(續完)'!E8,'表36(續完)'!E11,'表36(續完)'!E14,'表36(續完)'!E17))/10</f>
        <v>46.4</v>
      </c>
      <c r="F23" s="58">
        <v>0</v>
      </c>
      <c r="G23" s="49">
        <v>0</v>
      </c>
      <c r="H23" s="49">
        <v>0</v>
      </c>
      <c r="I23" s="49">
        <v>5</v>
      </c>
      <c r="J23" s="59">
        <v>44</v>
      </c>
      <c r="K23" s="58">
        <v>96</v>
      </c>
      <c r="L23" s="58">
        <v>136</v>
      </c>
      <c r="M23" s="58">
        <v>99</v>
      </c>
      <c r="N23" s="58">
        <v>40</v>
      </c>
      <c r="O23" s="58">
        <v>8</v>
      </c>
      <c r="P23" s="58">
        <v>124</v>
      </c>
      <c r="Q23" s="58">
        <v>281</v>
      </c>
      <c r="R23" s="58">
        <v>23</v>
      </c>
      <c r="S23" s="58">
        <v>0</v>
      </c>
      <c r="T23" s="313"/>
    </row>
    <row r="24" spans="1:20" s="93" customFormat="1" ht="13.5" customHeight="1">
      <c r="A24" s="542"/>
      <c r="B24" s="493"/>
      <c r="C24" s="235" t="s">
        <v>992</v>
      </c>
      <c r="D24" s="24">
        <f>SUM(D27,D30,D33,D36,D39,D42,'表36(續完)'!D9,'表36(續完)'!D12,'表36(續完)'!D15,'表36(續完)'!D18)</f>
        <v>354</v>
      </c>
      <c r="E24" s="49">
        <f>(SUM(E27,E30,E33,E36,E39,E42,'表36(續完)'!E9,'表36(續完)'!E12,'表36(續完)'!E15,'表36(續完)'!E18))/10</f>
        <v>43.9</v>
      </c>
      <c r="F24" s="58">
        <v>0</v>
      </c>
      <c r="G24" s="49">
        <v>0</v>
      </c>
      <c r="H24" s="49">
        <v>1</v>
      </c>
      <c r="I24" s="49">
        <v>8</v>
      </c>
      <c r="J24" s="59">
        <v>68</v>
      </c>
      <c r="K24" s="58">
        <v>104</v>
      </c>
      <c r="L24" s="58">
        <v>118</v>
      </c>
      <c r="M24" s="58">
        <v>46</v>
      </c>
      <c r="N24" s="58">
        <v>6</v>
      </c>
      <c r="O24" s="58">
        <v>3</v>
      </c>
      <c r="P24" s="58">
        <v>85</v>
      </c>
      <c r="Q24" s="58">
        <v>264</v>
      </c>
      <c r="R24" s="58">
        <v>5</v>
      </c>
      <c r="S24" s="58">
        <v>0</v>
      </c>
      <c r="T24" s="313"/>
    </row>
    <row r="25" spans="1:20" s="93" customFormat="1" ht="13.5" customHeight="1">
      <c r="A25" s="542"/>
      <c r="B25" s="494" t="s">
        <v>519</v>
      </c>
      <c r="C25" s="234" t="s">
        <v>990</v>
      </c>
      <c r="D25" s="54">
        <v>101</v>
      </c>
      <c r="E25" s="55">
        <v>43</v>
      </c>
      <c r="F25" s="55">
        <v>0</v>
      </c>
      <c r="G25" s="55">
        <v>0</v>
      </c>
      <c r="H25" s="55">
        <v>0</v>
      </c>
      <c r="I25" s="55">
        <v>6</v>
      </c>
      <c r="J25" s="55">
        <v>15</v>
      </c>
      <c r="K25" s="55">
        <v>32</v>
      </c>
      <c r="L25" s="55">
        <v>30</v>
      </c>
      <c r="M25" s="55">
        <v>12</v>
      </c>
      <c r="N25" s="55">
        <v>3</v>
      </c>
      <c r="O25" s="55">
        <v>3</v>
      </c>
      <c r="P25" s="55">
        <v>28</v>
      </c>
      <c r="Q25" s="55">
        <v>70</v>
      </c>
      <c r="R25" s="55">
        <v>3</v>
      </c>
      <c r="S25" s="55">
        <v>0</v>
      </c>
      <c r="T25" s="313"/>
    </row>
    <row r="26" spans="1:20" s="93" customFormat="1" ht="13.5" customHeight="1">
      <c r="A26" s="542"/>
      <c r="B26" s="494"/>
      <c r="C26" s="124" t="s">
        <v>991</v>
      </c>
      <c r="D26" s="64">
        <v>52</v>
      </c>
      <c r="E26" s="49">
        <v>42</v>
      </c>
      <c r="F26" s="58">
        <v>0</v>
      </c>
      <c r="G26" s="49">
        <v>0</v>
      </c>
      <c r="H26" s="49">
        <v>0</v>
      </c>
      <c r="I26" s="49">
        <v>3</v>
      </c>
      <c r="J26" s="59">
        <v>8</v>
      </c>
      <c r="K26" s="58">
        <v>9</v>
      </c>
      <c r="L26" s="58">
        <v>16</v>
      </c>
      <c r="M26" s="58">
        <v>12</v>
      </c>
      <c r="N26" s="58">
        <v>3</v>
      </c>
      <c r="O26" s="58">
        <v>1</v>
      </c>
      <c r="P26" s="58">
        <v>19</v>
      </c>
      <c r="Q26" s="58">
        <v>30</v>
      </c>
      <c r="R26" s="58">
        <v>3</v>
      </c>
      <c r="S26" s="58">
        <v>0</v>
      </c>
      <c r="T26" s="313"/>
    </row>
    <row r="27" spans="1:20" s="93" customFormat="1" ht="13.5" customHeight="1">
      <c r="A27" s="542"/>
      <c r="B27" s="494"/>
      <c r="C27" s="235" t="s">
        <v>992</v>
      </c>
      <c r="D27" s="64">
        <v>49</v>
      </c>
      <c r="E27" s="49">
        <v>44</v>
      </c>
      <c r="F27" s="58">
        <v>0</v>
      </c>
      <c r="G27" s="49">
        <v>0</v>
      </c>
      <c r="H27" s="49">
        <v>0</v>
      </c>
      <c r="I27" s="49">
        <v>3</v>
      </c>
      <c r="J27" s="59">
        <v>7</v>
      </c>
      <c r="K27" s="58">
        <v>23</v>
      </c>
      <c r="L27" s="58">
        <v>14</v>
      </c>
      <c r="M27" s="58">
        <v>0</v>
      </c>
      <c r="N27" s="58">
        <v>0</v>
      </c>
      <c r="O27" s="58">
        <v>2</v>
      </c>
      <c r="P27" s="58">
        <v>9</v>
      </c>
      <c r="Q27" s="58">
        <v>40</v>
      </c>
      <c r="R27" s="58">
        <v>0</v>
      </c>
      <c r="S27" s="58">
        <v>0</v>
      </c>
      <c r="T27" s="313"/>
    </row>
    <row r="28" spans="1:20" s="93" customFormat="1" ht="13.5" customHeight="1">
      <c r="A28" s="542"/>
      <c r="B28" s="507" t="s">
        <v>520</v>
      </c>
      <c r="C28" s="234" t="s">
        <v>990</v>
      </c>
      <c r="D28" s="54">
        <v>88</v>
      </c>
      <c r="E28" s="55">
        <v>45</v>
      </c>
      <c r="F28" s="55">
        <v>0</v>
      </c>
      <c r="G28" s="55">
        <v>0</v>
      </c>
      <c r="H28" s="55">
        <v>0</v>
      </c>
      <c r="I28" s="55">
        <v>1</v>
      </c>
      <c r="J28" s="55">
        <v>20</v>
      </c>
      <c r="K28" s="55">
        <v>24</v>
      </c>
      <c r="L28" s="55">
        <v>28</v>
      </c>
      <c r="M28" s="55">
        <v>11</v>
      </c>
      <c r="N28" s="55">
        <v>2</v>
      </c>
      <c r="O28" s="55">
        <v>2</v>
      </c>
      <c r="P28" s="55">
        <v>8</v>
      </c>
      <c r="Q28" s="55">
        <v>75</v>
      </c>
      <c r="R28" s="55">
        <v>5</v>
      </c>
      <c r="S28" s="55">
        <v>0</v>
      </c>
      <c r="T28" s="313"/>
    </row>
    <row r="29" spans="1:20" s="93" customFormat="1" ht="13.5" customHeight="1">
      <c r="A29" s="542"/>
      <c r="B29" s="516"/>
      <c r="C29" s="124" t="s">
        <v>991</v>
      </c>
      <c r="D29" s="64">
        <v>47</v>
      </c>
      <c r="E29" s="49">
        <v>46</v>
      </c>
      <c r="F29" s="58">
        <v>0</v>
      </c>
      <c r="G29" s="49">
        <v>0</v>
      </c>
      <c r="H29" s="49">
        <v>0</v>
      </c>
      <c r="I29" s="49">
        <v>0</v>
      </c>
      <c r="J29" s="59">
        <v>7</v>
      </c>
      <c r="K29" s="58">
        <v>9</v>
      </c>
      <c r="L29" s="58">
        <v>19</v>
      </c>
      <c r="M29" s="58">
        <v>8</v>
      </c>
      <c r="N29" s="58">
        <v>2</v>
      </c>
      <c r="O29" s="58">
        <v>2</v>
      </c>
      <c r="P29" s="58">
        <v>6</v>
      </c>
      <c r="Q29" s="58">
        <v>37</v>
      </c>
      <c r="R29" s="58">
        <v>4</v>
      </c>
      <c r="S29" s="58">
        <v>0</v>
      </c>
      <c r="T29" s="313"/>
    </row>
    <row r="30" spans="1:20" s="93" customFormat="1" ht="13.5" customHeight="1">
      <c r="A30" s="542"/>
      <c r="B30" s="517"/>
      <c r="C30" s="235" t="s">
        <v>992</v>
      </c>
      <c r="D30" s="64">
        <v>41</v>
      </c>
      <c r="E30" s="49">
        <v>43</v>
      </c>
      <c r="F30" s="58">
        <v>0</v>
      </c>
      <c r="G30" s="49">
        <v>0</v>
      </c>
      <c r="H30" s="49">
        <v>0</v>
      </c>
      <c r="I30" s="49">
        <v>1</v>
      </c>
      <c r="J30" s="59">
        <v>13</v>
      </c>
      <c r="K30" s="58">
        <v>15</v>
      </c>
      <c r="L30" s="58">
        <v>9</v>
      </c>
      <c r="M30" s="58">
        <v>3</v>
      </c>
      <c r="N30" s="58">
        <v>0</v>
      </c>
      <c r="O30" s="58">
        <v>0</v>
      </c>
      <c r="P30" s="58">
        <v>2</v>
      </c>
      <c r="Q30" s="58">
        <v>38</v>
      </c>
      <c r="R30" s="58">
        <v>1</v>
      </c>
      <c r="S30" s="58">
        <v>0</v>
      </c>
      <c r="T30" s="313"/>
    </row>
    <row r="31" spans="1:20" s="93" customFormat="1" ht="13.5" customHeight="1">
      <c r="A31" s="542"/>
      <c r="B31" s="491" t="s">
        <v>521</v>
      </c>
      <c r="C31" s="234" t="s">
        <v>990</v>
      </c>
      <c r="D31" s="54">
        <v>72</v>
      </c>
      <c r="E31" s="55">
        <v>48</v>
      </c>
      <c r="F31" s="55">
        <v>0</v>
      </c>
      <c r="G31" s="55">
        <v>0</v>
      </c>
      <c r="H31" s="55">
        <v>0</v>
      </c>
      <c r="I31" s="55">
        <v>0</v>
      </c>
      <c r="J31" s="55">
        <v>13</v>
      </c>
      <c r="K31" s="55">
        <v>26</v>
      </c>
      <c r="L31" s="55">
        <v>20</v>
      </c>
      <c r="M31" s="55">
        <v>7</v>
      </c>
      <c r="N31" s="55">
        <v>6</v>
      </c>
      <c r="O31" s="55">
        <v>0</v>
      </c>
      <c r="P31" s="55">
        <v>14</v>
      </c>
      <c r="Q31" s="55">
        <v>57</v>
      </c>
      <c r="R31" s="55">
        <v>1</v>
      </c>
      <c r="S31" s="55">
        <v>0</v>
      </c>
      <c r="T31" s="313"/>
    </row>
    <row r="32" spans="1:20" s="93" customFormat="1" ht="13.5" customHeight="1">
      <c r="A32" s="538" t="s">
        <v>610</v>
      </c>
      <c r="B32" s="492"/>
      <c r="C32" s="124" t="s">
        <v>991</v>
      </c>
      <c r="D32" s="64">
        <v>48</v>
      </c>
      <c r="E32" s="49">
        <v>48</v>
      </c>
      <c r="F32" s="49">
        <v>0</v>
      </c>
      <c r="G32" s="49">
        <v>0</v>
      </c>
      <c r="H32" s="49">
        <v>0</v>
      </c>
      <c r="I32" s="49">
        <v>0</v>
      </c>
      <c r="J32" s="49">
        <v>8</v>
      </c>
      <c r="K32" s="49">
        <v>16</v>
      </c>
      <c r="L32" s="49">
        <v>12</v>
      </c>
      <c r="M32" s="49">
        <v>6</v>
      </c>
      <c r="N32" s="49">
        <v>6</v>
      </c>
      <c r="O32" s="49">
        <v>0</v>
      </c>
      <c r="P32" s="49">
        <v>10</v>
      </c>
      <c r="Q32" s="49">
        <v>37</v>
      </c>
      <c r="R32" s="49">
        <v>1</v>
      </c>
      <c r="S32" s="49">
        <v>0</v>
      </c>
      <c r="T32" s="313"/>
    </row>
    <row r="33" spans="1:20" s="93" customFormat="1" ht="13.5" customHeight="1">
      <c r="A33" s="538"/>
      <c r="B33" s="493"/>
      <c r="C33" s="235" t="s">
        <v>992</v>
      </c>
      <c r="D33" s="64">
        <v>24</v>
      </c>
      <c r="E33" s="49">
        <v>48</v>
      </c>
      <c r="F33" s="49">
        <v>0</v>
      </c>
      <c r="G33" s="49">
        <v>0</v>
      </c>
      <c r="H33" s="49">
        <v>0</v>
      </c>
      <c r="I33" s="49">
        <v>0</v>
      </c>
      <c r="J33" s="49">
        <v>5</v>
      </c>
      <c r="K33" s="49">
        <v>10</v>
      </c>
      <c r="L33" s="49">
        <v>8</v>
      </c>
      <c r="M33" s="49">
        <v>1</v>
      </c>
      <c r="N33" s="49">
        <v>0</v>
      </c>
      <c r="O33" s="49">
        <v>0</v>
      </c>
      <c r="P33" s="49">
        <v>4</v>
      </c>
      <c r="Q33" s="49">
        <v>20</v>
      </c>
      <c r="R33" s="49">
        <v>0</v>
      </c>
      <c r="S33" s="49">
        <v>0</v>
      </c>
      <c r="T33" s="313"/>
    </row>
    <row r="34" spans="1:20" ht="13.5" customHeight="1">
      <c r="A34" s="538"/>
      <c r="B34" s="491" t="s">
        <v>522</v>
      </c>
      <c r="C34" s="234" t="s">
        <v>990</v>
      </c>
      <c r="D34" s="54">
        <v>59</v>
      </c>
      <c r="E34" s="55">
        <v>45</v>
      </c>
      <c r="F34" s="55">
        <v>0</v>
      </c>
      <c r="G34" s="55">
        <v>0</v>
      </c>
      <c r="H34" s="55">
        <v>0</v>
      </c>
      <c r="I34" s="55">
        <v>0</v>
      </c>
      <c r="J34" s="55">
        <v>10</v>
      </c>
      <c r="K34" s="55">
        <v>13</v>
      </c>
      <c r="L34" s="55">
        <v>21</v>
      </c>
      <c r="M34" s="55">
        <v>13</v>
      </c>
      <c r="N34" s="55">
        <v>2</v>
      </c>
      <c r="O34" s="55">
        <v>0</v>
      </c>
      <c r="P34" s="55">
        <v>17</v>
      </c>
      <c r="Q34" s="55">
        <v>39</v>
      </c>
      <c r="R34" s="55">
        <v>3</v>
      </c>
      <c r="S34" s="55">
        <v>0</v>
      </c>
      <c r="T34" s="313"/>
    </row>
    <row r="35" spans="1:20" ht="13.5" customHeight="1">
      <c r="A35" s="538"/>
      <c r="B35" s="492"/>
      <c r="C35" s="124" t="s">
        <v>991</v>
      </c>
      <c r="D35" s="64">
        <v>37</v>
      </c>
      <c r="E35" s="49">
        <v>45</v>
      </c>
      <c r="F35" s="59">
        <v>0</v>
      </c>
      <c r="G35" s="58">
        <v>0</v>
      </c>
      <c r="H35" s="58">
        <v>0</v>
      </c>
      <c r="I35" s="58">
        <v>0</v>
      </c>
      <c r="J35" s="58">
        <v>6</v>
      </c>
      <c r="K35" s="58">
        <v>7</v>
      </c>
      <c r="L35" s="58">
        <v>14</v>
      </c>
      <c r="M35" s="58">
        <v>8</v>
      </c>
      <c r="N35" s="58">
        <v>2</v>
      </c>
      <c r="O35" s="58">
        <v>0</v>
      </c>
      <c r="P35" s="59">
        <v>8</v>
      </c>
      <c r="Q35" s="59">
        <v>26</v>
      </c>
      <c r="R35" s="59">
        <v>3</v>
      </c>
      <c r="S35" s="59">
        <v>0</v>
      </c>
      <c r="T35" s="313"/>
    </row>
    <row r="36" spans="1:20" ht="13.5" customHeight="1">
      <c r="A36" s="538"/>
      <c r="B36" s="493"/>
      <c r="C36" s="235" t="s">
        <v>992</v>
      </c>
      <c r="D36" s="64">
        <v>22</v>
      </c>
      <c r="E36" s="49">
        <v>44</v>
      </c>
      <c r="F36" s="59">
        <v>0</v>
      </c>
      <c r="G36" s="58">
        <v>0</v>
      </c>
      <c r="H36" s="58">
        <v>0</v>
      </c>
      <c r="I36" s="58">
        <v>0</v>
      </c>
      <c r="J36" s="58">
        <v>4</v>
      </c>
      <c r="K36" s="58">
        <v>6</v>
      </c>
      <c r="L36" s="58">
        <v>7</v>
      </c>
      <c r="M36" s="58">
        <v>5</v>
      </c>
      <c r="N36" s="58">
        <v>0</v>
      </c>
      <c r="O36" s="58">
        <v>0</v>
      </c>
      <c r="P36" s="59">
        <v>9</v>
      </c>
      <c r="Q36" s="59">
        <v>13</v>
      </c>
      <c r="R36" s="59">
        <v>0</v>
      </c>
      <c r="S36" s="59">
        <v>0</v>
      </c>
      <c r="T36" s="313"/>
    </row>
    <row r="37" spans="1:20" ht="13.5" customHeight="1">
      <c r="A37" s="538"/>
      <c r="B37" s="492" t="s">
        <v>532</v>
      </c>
      <c r="C37" s="234" t="s">
        <v>990</v>
      </c>
      <c r="D37" s="54">
        <v>81</v>
      </c>
      <c r="E37" s="55">
        <v>46</v>
      </c>
      <c r="F37" s="55">
        <v>0</v>
      </c>
      <c r="G37" s="55">
        <v>0</v>
      </c>
      <c r="H37" s="55">
        <v>0</v>
      </c>
      <c r="I37" s="55">
        <v>0</v>
      </c>
      <c r="J37" s="55">
        <v>11</v>
      </c>
      <c r="K37" s="55">
        <v>19</v>
      </c>
      <c r="L37" s="55">
        <v>26</v>
      </c>
      <c r="M37" s="55">
        <v>17</v>
      </c>
      <c r="N37" s="55">
        <v>7</v>
      </c>
      <c r="O37" s="55">
        <v>1</v>
      </c>
      <c r="P37" s="55">
        <v>16</v>
      </c>
      <c r="Q37" s="55">
        <v>63</v>
      </c>
      <c r="R37" s="55">
        <v>2</v>
      </c>
      <c r="S37" s="55">
        <v>0</v>
      </c>
      <c r="T37" s="313"/>
    </row>
    <row r="38" spans="1:20" ht="13.5" customHeight="1">
      <c r="A38" s="538"/>
      <c r="B38" s="492"/>
      <c r="C38" s="124" t="s">
        <v>991</v>
      </c>
      <c r="D38" s="24">
        <v>49</v>
      </c>
      <c r="E38" s="10">
        <v>47</v>
      </c>
      <c r="F38" s="10">
        <v>0</v>
      </c>
      <c r="G38" s="10">
        <v>0</v>
      </c>
      <c r="H38" s="10">
        <v>0</v>
      </c>
      <c r="I38" s="10">
        <v>0</v>
      </c>
      <c r="J38" s="10">
        <v>5</v>
      </c>
      <c r="K38" s="10">
        <v>11</v>
      </c>
      <c r="L38" s="10">
        <v>14</v>
      </c>
      <c r="M38" s="10">
        <v>12</v>
      </c>
      <c r="N38" s="10">
        <v>6</v>
      </c>
      <c r="O38" s="10">
        <v>1</v>
      </c>
      <c r="P38" s="10">
        <v>8</v>
      </c>
      <c r="Q38" s="10">
        <v>40</v>
      </c>
      <c r="R38" s="10">
        <v>1</v>
      </c>
      <c r="S38" s="10">
        <v>0</v>
      </c>
      <c r="T38" s="313"/>
    </row>
    <row r="39" spans="1:20" ht="13.5" customHeight="1">
      <c r="A39" s="538"/>
      <c r="B39" s="492"/>
      <c r="C39" s="235" t="s">
        <v>992</v>
      </c>
      <c r="D39" s="24">
        <v>32</v>
      </c>
      <c r="E39" s="10">
        <v>45</v>
      </c>
      <c r="F39" s="10">
        <v>0</v>
      </c>
      <c r="G39" s="10">
        <v>0</v>
      </c>
      <c r="H39" s="10">
        <v>0</v>
      </c>
      <c r="I39" s="10">
        <v>0</v>
      </c>
      <c r="J39" s="10">
        <v>6</v>
      </c>
      <c r="K39" s="10">
        <v>8</v>
      </c>
      <c r="L39" s="10">
        <v>12</v>
      </c>
      <c r="M39" s="10">
        <v>5</v>
      </c>
      <c r="N39" s="10">
        <v>1</v>
      </c>
      <c r="O39" s="10">
        <v>0</v>
      </c>
      <c r="P39" s="10">
        <v>8</v>
      </c>
      <c r="Q39" s="10">
        <v>23</v>
      </c>
      <c r="R39" s="10">
        <v>1</v>
      </c>
      <c r="S39" s="10">
        <v>0</v>
      </c>
      <c r="T39" s="313"/>
    </row>
    <row r="40" spans="1:20" ht="13.5" customHeight="1">
      <c r="A40" s="538"/>
      <c r="B40" s="491" t="s">
        <v>533</v>
      </c>
      <c r="C40" s="234" t="s">
        <v>990</v>
      </c>
      <c r="D40" s="54">
        <v>65</v>
      </c>
      <c r="E40" s="55">
        <v>44</v>
      </c>
      <c r="F40" s="55">
        <v>0</v>
      </c>
      <c r="G40" s="55">
        <v>0</v>
      </c>
      <c r="H40" s="55">
        <v>0</v>
      </c>
      <c r="I40" s="55">
        <v>4</v>
      </c>
      <c r="J40" s="55">
        <v>9</v>
      </c>
      <c r="K40" s="55">
        <v>21</v>
      </c>
      <c r="L40" s="55">
        <v>15</v>
      </c>
      <c r="M40" s="55">
        <v>11</v>
      </c>
      <c r="N40" s="55">
        <v>3</v>
      </c>
      <c r="O40" s="55">
        <v>2</v>
      </c>
      <c r="P40" s="55">
        <v>15</v>
      </c>
      <c r="Q40" s="55">
        <v>46</v>
      </c>
      <c r="R40" s="55">
        <v>4</v>
      </c>
      <c r="S40" s="55">
        <v>0</v>
      </c>
      <c r="T40" s="313"/>
    </row>
    <row r="41" spans="1:20" ht="13.5" customHeight="1">
      <c r="A41" s="538"/>
      <c r="B41" s="492"/>
      <c r="C41" s="124" t="s">
        <v>991</v>
      </c>
      <c r="D41" s="24">
        <v>36</v>
      </c>
      <c r="E41" s="10">
        <v>46</v>
      </c>
      <c r="F41" s="10">
        <v>0</v>
      </c>
      <c r="G41" s="10">
        <v>0</v>
      </c>
      <c r="H41" s="10">
        <v>0</v>
      </c>
      <c r="I41" s="10">
        <v>2</v>
      </c>
      <c r="J41" s="10">
        <v>3</v>
      </c>
      <c r="K41" s="10">
        <v>11</v>
      </c>
      <c r="L41" s="10">
        <v>7</v>
      </c>
      <c r="M41" s="10">
        <v>8</v>
      </c>
      <c r="N41" s="10">
        <v>3</v>
      </c>
      <c r="O41" s="10">
        <v>2</v>
      </c>
      <c r="P41" s="10">
        <v>12</v>
      </c>
      <c r="Q41" s="10">
        <v>22</v>
      </c>
      <c r="R41" s="10">
        <v>2</v>
      </c>
      <c r="S41" s="10">
        <v>0</v>
      </c>
      <c r="T41" s="313"/>
    </row>
    <row r="42" spans="1:20" ht="13.5" customHeight="1">
      <c r="A42" s="538"/>
      <c r="B42" s="493"/>
      <c r="C42" s="143" t="s">
        <v>992</v>
      </c>
      <c r="D42" s="24">
        <v>29</v>
      </c>
      <c r="E42" s="10">
        <v>42</v>
      </c>
      <c r="F42" s="10">
        <v>0</v>
      </c>
      <c r="G42" s="10">
        <v>0</v>
      </c>
      <c r="H42" s="10">
        <v>0</v>
      </c>
      <c r="I42" s="10">
        <v>2</v>
      </c>
      <c r="J42" s="10">
        <v>6</v>
      </c>
      <c r="K42" s="10">
        <v>10</v>
      </c>
      <c r="L42" s="10">
        <v>8</v>
      </c>
      <c r="M42" s="10">
        <v>3</v>
      </c>
      <c r="N42" s="10">
        <v>0</v>
      </c>
      <c r="O42" s="10">
        <v>0</v>
      </c>
      <c r="P42" s="10">
        <v>3</v>
      </c>
      <c r="Q42" s="10">
        <v>24</v>
      </c>
      <c r="R42" s="10">
        <v>2</v>
      </c>
      <c r="S42" s="10">
        <v>0</v>
      </c>
      <c r="T42" s="313"/>
    </row>
    <row r="44" ht="15.75">
      <c r="A44" s="329"/>
    </row>
    <row r="53" spans="1:19" ht="15.75">
      <c r="A53" s="573" t="str">
        <f>"- "&amp;Sheet1!H37&amp;" -"</f>
        <v>- 244 -</v>
      </c>
      <c r="B53" s="573"/>
      <c r="C53" s="573"/>
      <c r="D53" s="573"/>
      <c r="E53" s="573"/>
      <c r="F53" s="573"/>
      <c r="G53" s="573"/>
      <c r="H53" s="573"/>
      <c r="I53" s="573"/>
      <c r="J53" s="573"/>
      <c r="K53" s="573" t="str">
        <f>"- "&amp;Sheet1!I37&amp;" -"</f>
        <v>- 245 -</v>
      </c>
      <c r="L53" s="573"/>
      <c r="M53" s="573"/>
      <c r="N53" s="573"/>
      <c r="O53" s="573"/>
      <c r="P53" s="573"/>
      <c r="Q53" s="573"/>
      <c r="R53" s="573"/>
      <c r="S53" s="573"/>
    </row>
  </sheetData>
  <sheetProtection/>
  <mergeCells count="28">
    <mergeCell ref="A14:A21"/>
    <mergeCell ref="F5:J5"/>
    <mergeCell ref="K5:O5"/>
    <mergeCell ref="B7:B9"/>
    <mergeCell ref="B10:B12"/>
    <mergeCell ref="B13:B15"/>
    <mergeCell ref="B16:B18"/>
    <mergeCell ref="B19:B21"/>
    <mergeCell ref="A22:A31"/>
    <mergeCell ref="A32:A42"/>
    <mergeCell ref="A1:J1"/>
    <mergeCell ref="K1:S1"/>
    <mergeCell ref="P5:S5"/>
    <mergeCell ref="A5:C6"/>
    <mergeCell ref="D5:D6"/>
    <mergeCell ref="E5:E6"/>
    <mergeCell ref="B25:B27"/>
    <mergeCell ref="A7:A13"/>
    <mergeCell ref="B28:B30"/>
    <mergeCell ref="L3:R3"/>
    <mergeCell ref="C3:I3"/>
    <mergeCell ref="A53:J53"/>
    <mergeCell ref="K53:S53"/>
    <mergeCell ref="B31:B33"/>
    <mergeCell ref="B34:B36"/>
    <mergeCell ref="B37:B39"/>
    <mergeCell ref="B40:B42"/>
    <mergeCell ref="B22:B24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R53"/>
  <sheetViews>
    <sheetView view="pageLayout" zoomScaleSheetLayoutView="85" workbookViewId="0" topLeftCell="A34">
      <selection activeCell="A53" sqref="A53:J53"/>
    </sheetView>
  </sheetViews>
  <sheetFormatPr defaultColWidth="9.00390625" defaultRowHeight="16.5"/>
  <cols>
    <col min="1" max="1" width="6.50390625" style="85" customWidth="1"/>
    <col min="2" max="2" width="9.50390625" style="85" customWidth="1"/>
    <col min="3" max="3" width="10.25390625" style="85" customWidth="1"/>
    <col min="4" max="4" width="11.00390625" style="85" customWidth="1"/>
    <col min="5" max="5" width="9.125" style="85" customWidth="1"/>
    <col min="6" max="14" width="8.75390625" style="85" customWidth="1"/>
    <col min="15" max="15" width="9.0039062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125" style="85" customWidth="1"/>
    <col min="20" max="16384" width="9.00390625" style="85" customWidth="1"/>
  </cols>
  <sheetData>
    <row r="1" spans="1:19" s="98" customFormat="1" ht="21.75" customHeight="1">
      <c r="A1" s="539" t="s">
        <v>306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307</v>
      </c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33"/>
      <c r="B2" s="33"/>
      <c r="C2" s="33"/>
      <c r="D2" s="33"/>
      <c r="E2" s="33"/>
      <c r="F2" s="33"/>
      <c r="G2" s="33"/>
      <c r="H2" s="33"/>
      <c r="I2" s="33"/>
      <c r="J2" s="2"/>
      <c r="K2" s="2"/>
      <c r="L2" s="33"/>
      <c r="M2" s="33"/>
      <c r="N2" s="33"/>
      <c r="O2" s="33"/>
      <c r="P2" s="33"/>
      <c r="Q2" s="33"/>
      <c r="R2" s="33"/>
      <c r="S2" s="33"/>
    </row>
    <row r="3" spans="1:19" s="97" customFormat="1" ht="15" customHeight="1">
      <c r="A3" s="66"/>
      <c r="B3" s="66"/>
      <c r="C3" s="460" t="s">
        <v>831</v>
      </c>
      <c r="D3" s="461"/>
      <c r="E3" s="461"/>
      <c r="F3" s="461"/>
      <c r="G3" s="461"/>
      <c r="H3" s="461"/>
      <c r="I3" s="461"/>
      <c r="J3" s="4" t="s">
        <v>68</v>
      </c>
      <c r="K3" s="5"/>
      <c r="L3" s="595" t="s">
        <v>832</v>
      </c>
      <c r="M3" s="595"/>
      <c r="N3" s="595"/>
      <c r="O3" s="595"/>
      <c r="P3" s="595"/>
      <c r="Q3" s="595"/>
      <c r="R3" s="595"/>
      <c r="S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69</v>
      </c>
      <c r="E5" s="507" t="s">
        <v>986</v>
      </c>
      <c r="F5" s="495" t="s">
        <v>70</v>
      </c>
      <c r="G5" s="596"/>
      <c r="H5" s="596"/>
      <c r="I5" s="596"/>
      <c r="J5" s="596"/>
      <c r="K5" s="487" t="s">
        <v>988</v>
      </c>
      <c r="L5" s="596"/>
      <c r="M5" s="596"/>
      <c r="N5" s="596"/>
      <c r="O5" s="597"/>
      <c r="P5" s="495" t="s">
        <v>71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327" t="s">
        <v>789</v>
      </c>
      <c r="K6" s="52" t="s">
        <v>790</v>
      </c>
      <c r="L6" s="52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937</v>
      </c>
      <c r="S6" s="120" t="s">
        <v>711</v>
      </c>
    </row>
    <row r="7" spans="1:44" s="93" customFormat="1" ht="13.5" customHeight="1">
      <c r="A7" s="541" t="s">
        <v>609</v>
      </c>
      <c r="B7" s="507" t="s">
        <v>534</v>
      </c>
      <c r="C7" s="234" t="s">
        <v>990</v>
      </c>
      <c r="D7" s="54">
        <v>84</v>
      </c>
      <c r="E7" s="55">
        <v>44</v>
      </c>
      <c r="F7" s="55">
        <v>0</v>
      </c>
      <c r="G7" s="55">
        <v>0</v>
      </c>
      <c r="H7" s="55">
        <v>0</v>
      </c>
      <c r="I7" s="55">
        <v>1</v>
      </c>
      <c r="J7" s="55">
        <v>8</v>
      </c>
      <c r="K7" s="55">
        <v>11</v>
      </c>
      <c r="L7" s="55">
        <v>41</v>
      </c>
      <c r="M7" s="55">
        <v>17</v>
      </c>
      <c r="N7" s="55">
        <v>4</v>
      </c>
      <c r="O7" s="55">
        <v>2</v>
      </c>
      <c r="P7" s="55">
        <v>23</v>
      </c>
      <c r="Q7" s="55">
        <v>56</v>
      </c>
      <c r="R7" s="55">
        <v>5</v>
      </c>
      <c r="S7" s="55">
        <v>0</v>
      </c>
      <c r="T7" s="31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542"/>
      <c r="B8" s="516"/>
      <c r="C8" s="124" t="s">
        <v>991</v>
      </c>
      <c r="D8" s="24">
        <v>42</v>
      </c>
      <c r="E8" s="10">
        <v>47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9</v>
      </c>
      <c r="L8" s="10">
        <v>16</v>
      </c>
      <c r="M8" s="10">
        <v>12</v>
      </c>
      <c r="N8" s="10">
        <v>2</v>
      </c>
      <c r="O8" s="10">
        <v>2</v>
      </c>
      <c r="P8" s="10">
        <v>9</v>
      </c>
      <c r="Q8" s="10">
        <v>29</v>
      </c>
      <c r="R8" s="10">
        <v>4</v>
      </c>
      <c r="S8" s="10">
        <v>0</v>
      </c>
      <c r="T8" s="31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542"/>
      <c r="B9" s="517"/>
      <c r="C9" s="235" t="s">
        <v>992</v>
      </c>
      <c r="D9" s="24">
        <v>42</v>
      </c>
      <c r="E9" s="10">
        <v>41</v>
      </c>
      <c r="F9" s="10">
        <v>0</v>
      </c>
      <c r="G9" s="10">
        <v>0</v>
      </c>
      <c r="H9" s="10">
        <v>0</v>
      </c>
      <c r="I9" s="10">
        <v>1</v>
      </c>
      <c r="J9" s="10">
        <v>7</v>
      </c>
      <c r="K9" s="10">
        <v>2</v>
      </c>
      <c r="L9" s="10">
        <v>25</v>
      </c>
      <c r="M9" s="10">
        <v>5</v>
      </c>
      <c r="N9" s="10">
        <v>2</v>
      </c>
      <c r="O9" s="10">
        <v>0</v>
      </c>
      <c r="P9" s="10">
        <v>14</v>
      </c>
      <c r="Q9" s="10">
        <v>27</v>
      </c>
      <c r="R9" s="10">
        <v>1</v>
      </c>
      <c r="S9" s="10">
        <v>0</v>
      </c>
      <c r="T9" s="31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20" s="93" customFormat="1" ht="13.5" customHeight="1">
      <c r="A10" s="542"/>
      <c r="B10" s="491" t="s">
        <v>535</v>
      </c>
      <c r="C10" s="234" t="s">
        <v>990</v>
      </c>
      <c r="D10" s="54">
        <v>97</v>
      </c>
      <c r="E10" s="55">
        <v>46</v>
      </c>
      <c r="F10" s="55">
        <v>0</v>
      </c>
      <c r="G10" s="55">
        <v>0</v>
      </c>
      <c r="H10" s="55">
        <v>0</v>
      </c>
      <c r="I10" s="55">
        <v>0</v>
      </c>
      <c r="J10" s="55">
        <v>10</v>
      </c>
      <c r="K10" s="55">
        <v>18</v>
      </c>
      <c r="L10" s="55">
        <v>34</v>
      </c>
      <c r="M10" s="55">
        <v>25</v>
      </c>
      <c r="N10" s="55">
        <v>10</v>
      </c>
      <c r="O10" s="55">
        <v>0</v>
      </c>
      <c r="P10" s="55">
        <v>33</v>
      </c>
      <c r="Q10" s="55">
        <v>62</v>
      </c>
      <c r="R10" s="55">
        <v>2</v>
      </c>
      <c r="S10" s="55">
        <v>0</v>
      </c>
      <c r="T10" s="313"/>
    </row>
    <row r="11" spans="1:20" s="93" customFormat="1" ht="13.5" customHeight="1">
      <c r="A11" s="542"/>
      <c r="B11" s="492"/>
      <c r="C11" s="124" t="s">
        <v>991</v>
      </c>
      <c r="D11" s="64">
        <v>45</v>
      </c>
      <c r="E11" s="49">
        <v>47</v>
      </c>
      <c r="F11" s="58">
        <v>0</v>
      </c>
      <c r="G11" s="49">
        <v>0</v>
      </c>
      <c r="H11" s="49">
        <v>0</v>
      </c>
      <c r="I11" s="49">
        <v>0</v>
      </c>
      <c r="J11" s="59">
        <v>3</v>
      </c>
      <c r="K11" s="58">
        <v>11</v>
      </c>
      <c r="L11" s="58">
        <v>14</v>
      </c>
      <c r="M11" s="58">
        <v>9</v>
      </c>
      <c r="N11" s="58">
        <v>8</v>
      </c>
      <c r="O11" s="58">
        <v>0</v>
      </c>
      <c r="P11" s="58">
        <v>18</v>
      </c>
      <c r="Q11" s="58">
        <v>25</v>
      </c>
      <c r="R11" s="58">
        <v>2</v>
      </c>
      <c r="S11" s="58">
        <v>0</v>
      </c>
      <c r="T11" s="313"/>
    </row>
    <row r="12" spans="1:20" s="93" customFormat="1" ht="13.5" customHeight="1">
      <c r="A12" s="542"/>
      <c r="B12" s="493"/>
      <c r="C12" s="235" t="s">
        <v>992</v>
      </c>
      <c r="D12" s="64">
        <v>52</v>
      </c>
      <c r="E12" s="49">
        <v>46</v>
      </c>
      <c r="F12" s="58">
        <v>0</v>
      </c>
      <c r="G12" s="49">
        <v>0</v>
      </c>
      <c r="H12" s="49">
        <v>0</v>
      </c>
      <c r="I12" s="49">
        <v>0</v>
      </c>
      <c r="J12" s="59">
        <v>7</v>
      </c>
      <c r="K12" s="58">
        <v>7</v>
      </c>
      <c r="L12" s="58">
        <v>20</v>
      </c>
      <c r="M12" s="58">
        <v>16</v>
      </c>
      <c r="N12" s="58">
        <v>2</v>
      </c>
      <c r="O12" s="58">
        <v>0</v>
      </c>
      <c r="P12" s="58">
        <v>15</v>
      </c>
      <c r="Q12" s="58">
        <v>37</v>
      </c>
      <c r="R12" s="58">
        <v>0</v>
      </c>
      <c r="S12" s="58">
        <v>0</v>
      </c>
      <c r="T12" s="313"/>
    </row>
    <row r="13" spans="1:20" s="93" customFormat="1" ht="13.5" customHeight="1">
      <c r="A13" s="538" t="s">
        <v>610</v>
      </c>
      <c r="B13" s="491" t="s">
        <v>536</v>
      </c>
      <c r="C13" s="234" t="s">
        <v>990</v>
      </c>
      <c r="D13" s="54">
        <v>59</v>
      </c>
      <c r="E13" s="55">
        <v>45</v>
      </c>
      <c r="F13" s="55">
        <v>0</v>
      </c>
      <c r="G13" s="55">
        <v>0</v>
      </c>
      <c r="H13" s="55">
        <v>1</v>
      </c>
      <c r="I13" s="55">
        <v>1</v>
      </c>
      <c r="J13" s="55">
        <v>7</v>
      </c>
      <c r="K13" s="55">
        <v>16</v>
      </c>
      <c r="L13" s="55">
        <v>18</v>
      </c>
      <c r="M13" s="55">
        <v>15</v>
      </c>
      <c r="N13" s="55">
        <v>1</v>
      </c>
      <c r="O13" s="55">
        <v>0</v>
      </c>
      <c r="P13" s="55">
        <v>24</v>
      </c>
      <c r="Q13" s="55">
        <v>34</v>
      </c>
      <c r="R13" s="55">
        <v>1</v>
      </c>
      <c r="S13" s="55">
        <v>0</v>
      </c>
      <c r="T13" s="313"/>
    </row>
    <row r="14" spans="1:20" s="93" customFormat="1" ht="13.5" customHeight="1">
      <c r="A14" s="538"/>
      <c r="B14" s="492"/>
      <c r="C14" s="124" t="s">
        <v>991</v>
      </c>
      <c r="D14" s="64">
        <v>32</v>
      </c>
      <c r="E14" s="49">
        <v>47</v>
      </c>
      <c r="F14" s="58">
        <v>0</v>
      </c>
      <c r="G14" s="49">
        <v>0</v>
      </c>
      <c r="H14" s="49">
        <v>0</v>
      </c>
      <c r="I14" s="49">
        <v>0</v>
      </c>
      <c r="J14" s="59">
        <v>1</v>
      </c>
      <c r="K14" s="58">
        <v>6</v>
      </c>
      <c r="L14" s="58">
        <v>14</v>
      </c>
      <c r="M14" s="58">
        <v>10</v>
      </c>
      <c r="N14" s="58">
        <v>1</v>
      </c>
      <c r="O14" s="58">
        <v>0</v>
      </c>
      <c r="P14" s="58">
        <v>14</v>
      </c>
      <c r="Q14" s="58">
        <v>17</v>
      </c>
      <c r="R14" s="58">
        <v>1</v>
      </c>
      <c r="S14" s="58">
        <v>0</v>
      </c>
      <c r="T14" s="313"/>
    </row>
    <row r="15" spans="1:20" s="93" customFormat="1" ht="13.5" customHeight="1">
      <c r="A15" s="538"/>
      <c r="B15" s="493"/>
      <c r="C15" s="235" t="s">
        <v>992</v>
      </c>
      <c r="D15" s="64">
        <v>27</v>
      </c>
      <c r="E15" s="49">
        <v>43</v>
      </c>
      <c r="F15" s="58">
        <v>0</v>
      </c>
      <c r="G15" s="49">
        <v>0</v>
      </c>
      <c r="H15" s="49">
        <v>1</v>
      </c>
      <c r="I15" s="49">
        <v>1</v>
      </c>
      <c r="J15" s="59">
        <v>6</v>
      </c>
      <c r="K15" s="58">
        <v>10</v>
      </c>
      <c r="L15" s="58">
        <v>4</v>
      </c>
      <c r="M15" s="58">
        <v>5</v>
      </c>
      <c r="N15" s="58">
        <v>0</v>
      </c>
      <c r="O15" s="58">
        <v>0</v>
      </c>
      <c r="P15" s="58">
        <v>10</v>
      </c>
      <c r="Q15" s="58">
        <v>17</v>
      </c>
      <c r="R15" s="58">
        <v>0</v>
      </c>
      <c r="S15" s="58">
        <v>0</v>
      </c>
      <c r="T15" s="313"/>
    </row>
    <row r="16" spans="1:20" s="93" customFormat="1" ht="13.5" customHeight="1">
      <c r="A16" s="538"/>
      <c r="B16" s="491" t="s">
        <v>537</v>
      </c>
      <c r="C16" s="234" t="s">
        <v>990</v>
      </c>
      <c r="D16" s="54">
        <v>76</v>
      </c>
      <c r="E16" s="55">
        <v>46</v>
      </c>
      <c r="F16" s="55">
        <v>0</v>
      </c>
      <c r="G16" s="55">
        <v>0</v>
      </c>
      <c r="H16" s="55">
        <v>0</v>
      </c>
      <c r="I16" s="55">
        <v>0</v>
      </c>
      <c r="J16" s="55">
        <v>9</v>
      </c>
      <c r="K16" s="55">
        <v>20</v>
      </c>
      <c r="L16" s="55">
        <v>21</v>
      </c>
      <c r="M16" s="55">
        <v>17</v>
      </c>
      <c r="N16" s="55">
        <v>8</v>
      </c>
      <c r="O16" s="55">
        <v>1</v>
      </c>
      <c r="P16" s="55">
        <v>31</v>
      </c>
      <c r="Q16" s="55">
        <v>43</v>
      </c>
      <c r="R16" s="55">
        <v>2</v>
      </c>
      <c r="S16" s="55">
        <v>0</v>
      </c>
      <c r="T16" s="313"/>
    </row>
    <row r="17" spans="1:20" s="93" customFormat="1" ht="13.5" customHeight="1">
      <c r="A17" s="538"/>
      <c r="B17" s="492"/>
      <c r="C17" s="124" t="s">
        <v>991</v>
      </c>
      <c r="D17" s="64">
        <v>40</v>
      </c>
      <c r="E17" s="49">
        <v>49</v>
      </c>
      <c r="F17" s="49">
        <v>0</v>
      </c>
      <c r="G17" s="49">
        <v>0</v>
      </c>
      <c r="H17" s="49">
        <v>0</v>
      </c>
      <c r="I17" s="49">
        <v>0</v>
      </c>
      <c r="J17" s="49">
        <v>2</v>
      </c>
      <c r="K17" s="49">
        <v>7</v>
      </c>
      <c r="L17" s="49">
        <v>10</v>
      </c>
      <c r="M17" s="49">
        <v>14</v>
      </c>
      <c r="N17" s="49">
        <v>7</v>
      </c>
      <c r="O17" s="49">
        <v>0</v>
      </c>
      <c r="P17" s="49">
        <v>20</v>
      </c>
      <c r="Q17" s="49">
        <v>18</v>
      </c>
      <c r="R17" s="49">
        <v>2</v>
      </c>
      <c r="S17" s="49">
        <v>0</v>
      </c>
      <c r="T17" s="313"/>
    </row>
    <row r="18" spans="1:20" s="93" customFormat="1" ht="13.5" customHeight="1">
      <c r="A18" s="538"/>
      <c r="B18" s="492"/>
      <c r="C18" s="235" t="s">
        <v>992</v>
      </c>
      <c r="D18" s="64">
        <v>36</v>
      </c>
      <c r="E18" s="49">
        <v>43</v>
      </c>
      <c r="F18" s="49">
        <v>0</v>
      </c>
      <c r="G18" s="49">
        <v>0</v>
      </c>
      <c r="H18" s="49">
        <v>0</v>
      </c>
      <c r="I18" s="49">
        <v>0</v>
      </c>
      <c r="J18" s="49">
        <v>7</v>
      </c>
      <c r="K18" s="49">
        <v>13</v>
      </c>
      <c r="L18" s="49">
        <v>11</v>
      </c>
      <c r="M18" s="49">
        <v>3</v>
      </c>
      <c r="N18" s="49">
        <v>1</v>
      </c>
      <c r="O18" s="49">
        <v>1</v>
      </c>
      <c r="P18" s="49">
        <v>11</v>
      </c>
      <c r="Q18" s="49">
        <v>25</v>
      </c>
      <c r="R18" s="49">
        <v>0</v>
      </c>
      <c r="S18" s="49">
        <v>0</v>
      </c>
      <c r="T18" s="313"/>
    </row>
    <row r="19" spans="1:19" ht="13.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</row>
    <row r="20" spans="1:19" ht="13.5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</row>
    <row r="21" spans="1:19" ht="13.5" customHeight="1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4" ht="15.75">
      <c r="A44" s="329"/>
    </row>
    <row r="53" spans="1:19" ht="15.75">
      <c r="A53" s="573" t="str">
        <f>"- "&amp;Sheet1!J37&amp;" -"</f>
        <v>- 246 -</v>
      </c>
      <c r="B53" s="573"/>
      <c r="C53" s="573"/>
      <c r="D53" s="573"/>
      <c r="E53" s="573"/>
      <c r="F53" s="573"/>
      <c r="G53" s="573"/>
      <c r="H53" s="573"/>
      <c r="I53" s="573"/>
      <c r="J53" s="573"/>
      <c r="K53" s="573" t="str">
        <f>"- "&amp;Sheet1!K37&amp;" -"</f>
        <v>- 247 -</v>
      </c>
      <c r="L53" s="573"/>
      <c r="M53" s="573"/>
      <c r="N53" s="573"/>
      <c r="O53" s="573"/>
      <c r="P53" s="573"/>
      <c r="Q53" s="573"/>
      <c r="R53" s="573"/>
      <c r="S53" s="573"/>
    </row>
  </sheetData>
  <sheetProtection/>
  <mergeCells count="18">
    <mergeCell ref="A1:J1"/>
    <mergeCell ref="K1:S1"/>
    <mergeCell ref="P5:S5"/>
    <mergeCell ref="A5:C6"/>
    <mergeCell ref="D5:D6"/>
    <mergeCell ref="E5:E6"/>
    <mergeCell ref="F5:J5"/>
    <mergeCell ref="K5:O5"/>
    <mergeCell ref="A53:J53"/>
    <mergeCell ref="K53:S53"/>
    <mergeCell ref="L3:R3"/>
    <mergeCell ref="C3:I3"/>
    <mergeCell ref="A7:A12"/>
    <mergeCell ref="A13:A18"/>
    <mergeCell ref="B16:B18"/>
    <mergeCell ref="B7:B9"/>
    <mergeCell ref="B10:B12"/>
    <mergeCell ref="B13:B15"/>
  </mergeCells>
  <printOptions/>
  <pageMargins left="0.6299212598425197" right="0.3937007874015748" top="0.5511811023622047" bottom="0.010416666666666666" header="0.5118110236220472" footer="0.7086614173228347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R49"/>
  <sheetViews>
    <sheetView zoomScale="85" zoomScaleNormal="85" zoomScalePageLayoutView="0" workbookViewId="0" topLeftCell="A1">
      <selection activeCell="F6" sqref="F6:S6"/>
    </sheetView>
  </sheetViews>
  <sheetFormatPr defaultColWidth="9.00390625" defaultRowHeight="16.5"/>
  <cols>
    <col min="1" max="1" width="6.375" style="85" customWidth="1"/>
    <col min="2" max="2" width="9.50390625" style="85" customWidth="1"/>
    <col min="3" max="3" width="10.25390625" style="85" customWidth="1"/>
    <col min="4" max="4" width="11.00390625" style="85" customWidth="1"/>
    <col min="5" max="5" width="9.125" style="85" customWidth="1"/>
    <col min="6" max="14" width="8.75390625" style="85" customWidth="1"/>
    <col min="15" max="15" width="9.0039062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125" style="85" customWidth="1"/>
    <col min="20" max="16384" width="9.00390625" style="85" customWidth="1"/>
  </cols>
  <sheetData>
    <row r="1" spans="1:19" s="98" customFormat="1" ht="21.75" customHeight="1">
      <c r="A1" s="505" t="s">
        <v>65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66</v>
      </c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33"/>
      <c r="B2" s="33"/>
      <c r="C2" s="33"/>
      <c r="D2" s="33"/>
      <c r="E2" s="33"/>
      <c r="F2" s="33"/>
      <c r="G2" s="33"/>
      <c r="H2" s="33"/>
      <c r="I2" s="33"/>
      <c r="J2" s="2"/>
      <c r="K2" s="2"/>
      <c r="L2" s="33"/>
      <c r="M2" s="33"/>
      <c r="N2" s="33"/>
      <c r="O2" s="33"/>
      <c r="P2" s="33"/>
      <c r="Q2" s="33"/>
      <c r="R2" s="33"/>
      <c r="S2" s="33"/>
    </row>
    <row r="3" spans="1:19" s="97" customFormat="1" ht="15" customHeight="1">
      <c r="A3" s="66"/>
      <c r="B3" s="66"/>
      <c r="C3" s="461"/>
      <c r="D3" s="461"/>
      <c r="E3" s="461"/>
      <c r="F3" s="461"/>
      <c r="G3" s="461"/>
      <c r="H3" s="461"/>
      <c r="I3" s="461"/>
      <c r="J3" s="4" t="s">
        <v>761</v>
      </c>
      <c r="K3" s="5"/>
      <c r="L3" s="595"/>
      <c r="M3" s="595"/>
      <c r="N3" s="595"/>
      <c r="O3" s="595"/>
      <c r="P3" s="595"/>
      <c r="Q3" s="595"/>
      <c r="R3" s="595"/>
      <c r="S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762</v>
      </c>
      <c r="E5" s="507" t="s">
        <v>977</v>
      </c>
      <c r="F5" s="495" t="s">
        <v>67</v>
      </c>
      <c r="G5" s="596"/>
      <c r="H5" s="596"/>
      <c r="I5" s="596"/>
      <c r="J5" s="596"/>
      <c r="K5" s="496" t="s">
        <v>979</v>
      </c>
      <c r="L5" s="596"/>
      <c r="M5" s="596"/>
      <c r="N5" s="596"/>
      <c r="O5" s="597"/>
      <c r="P5" s="495" t="s">
        <v>764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937</v>
      </c>
      <c r="S6" s="120" t="s">
        <v>711</v>
      </c>
    </row>
    <row r="7" spans="1:44" s="93" customFormat="1" ht="13.5" customHeight="1">
      <c r="A7" s="236"/>
      <c r="B7" s="507"/>
      <c r="C7" s="234" t="s">
        <v>980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153"/>
      <c r="B8" s="516"/>
      <c r="C8" s="124" t="s">
        <v>981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153"/>
      <c r="B9" s="517"/>
      <c r="C9" s="235" t="s">
        <v>982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153"/>
      <c r="B10" s="491"/>
      <c r="C10" s="234" t="s">
        <v>980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93" customFormat="1" ht="13.5" customHeight="1">
      <c r="A11" s="153"/>
      <c r="B11" s="492"/>
      <c r="C11" s="124" t="s">
        <v>981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93" customFormat="1" ht="13.5" customHeight="1">
      <c r="A12" s="153"/>
      <c r="B12" s="493"/>
      <c r="C12" s="235" t="s">
        <v>982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93" customFormat="1" ht="13.5" customHeight="1">
      <c r="A13" s="153"/>
      <c r="B13" s="491"/>
      <c r="C13" s="234" t="s">
        <v>980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s="93" customFormat="1" ht="13.5" customHeight="1">
      <c r="A14" s="153"/>
      <c r="B14" s="492"/>
      <c r="C14" s="124" t="s">
        <v>981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93" customFormat="1" ht="13.5" customHeight="1">
      <c r="A15" s="153"/>
      <c r="B15" s="493"/>
      <c r="C15" s="235" t="s">
        <v>982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93" customFormat="1" ht="13.5" customHeight="1">
      <c r="A16" s="153"/>
      <c r="B16" s="491"/>
      <c r="C16" s="234" t="s">
        <v>980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s="93" customFormat="1" ht="13.5" customHeight="1">
      <c r="A17" s="153"/>
      <c r="B17" s="492"/>
      <c r="C17" s="124" t="s">
        <v>981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93" customFormat="1" ht="13.5" customHeight="1">
      <c r="A18" s="153"/>
      <c r="B18" s="492"/>
      <c r="C18" s="235" t="s">
        <v>982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93" customFormat="1" ht="13.5" customHeight="1">
      <c r="A19" s="153"/>
      <c r="B19" s="491"/>
      <c r="C19" s="234" t="s">
        <v>980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s="93" customFormat="1" ht="13.5" customHeight="1">
      <c r="A20" s="153"/>
      <c r="B20" s="492"/>
      <c r="C20" s="124" t="s">
        <v>981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93" customFormat="1" ht="13.5" customHeight="1">
      <c r="A21" s="153"/>
      <c r="B21" s="492"/>
      <c r="C21" s="235" t="s">
        <v>982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93" customFormat="1" ht="13.5" customHeight="1">
      <c r="A22" s="153"/>
      <c r="B22" s="491"/>
      <c r="C22" s="234" t="s">
        <v>980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s="93" customFormat="1" ht="13.5" customHeight="1">
      <c r="A23" s="153"/>
      <c r="B23" s="492"/>
      <c r="C23" s="124" t="s">
        <v>981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93" customFormat="1" ht="13.5" customHeight="1">
      <c r="A24" s="153"/>
      <c r="B24" s="493"/>
      <c r="C24" s="235" t="s">
        <v>982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93" customFormat="1" ht="13.5" customHeight="1">
      <c r="A25" s="153"/>
      <c r="B25" s="494"/>
      <c r="C25" s="234" t="s">
        <v>980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s="93" customFormat="1" ht="13.5" customHeight="1">
      <c r="A26" s="153"/>
      <c r="B26" s="494"/>
      <c r="C26" s="124" t="s">
        <v>981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93" customFormat="1" ht="13.5" customHeight="1">
      <c r="A27" s="153"/>
      <c r="B27" s="494"/>
      <c r="C27" s="235" t="s">
        <v>982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93" customFormat="1" ht="13.5" customHeight="1">
      <c r="A28" s="153"/>
      <c r="B28" s="507"/>
      <c r="C28" s="234" t="s">
        <v>980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20" s="93" customFormat="1" ht="13.5" customHeight="1">
      <c r="A29" s="153"/>
      <c r="B29" s="516"/>
      <c r="C29" s="124" t="s">
        <v>981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94"/>
    </row>
    <row r="30" spans="1:20" s="93" customFormat="1" ht="13.5" customHeight="1">
      <c r="A30" s="153"/>
      <c r="B30" s="517"/>
      <c r="C30" s="235" t="s">
        <v>982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94"/>
    </row>
    <row r="31" spans="1:19" s="93" customFormat="1" ht="13.5" customHeight="1">
      <c r="A31" s="153"/>
      <c r="B31" s="491"/>
      <c r="C31" s="234" t="s">
        <v>980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20" s="93" customFormat="1" ht="13.5" customHeight="1">
      <c r="A32" s="153"/>
      <c r="B32" s="492"/>
      <c r="C32" s="124" t="s">
        <v>981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94"/>
    </row>
    <row r="33" spans="1:20" s="93" customFormat="1" ht="13.5" customHeight="1">
      <c r="A33" s="153"/>
      <c r="B33" s="493"/>
      <c r="C33" s="235" t="s">
        <v>982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94"/>
    </row>
    <row r="34" spans="1:19" ht="13.5" customHeight="1">
      <c r="A34" s="153"/>
      <c r="B34" s="491"/>
      <c r="C34" s="234" t="s">
        <v>980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3.5" customHeight="1">
      <c r="A35" s="153"/>
      <c r="B35" s="492"/>
      <c r="C35" s="124" t="s">
        <v>981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  <c r="S35" s="59"/>
    </row>
    <row r="36" spans="1:19" ht="13.5" customHeight="1">
      <c r="A36" s="153"/>
      <c r="B36" s="493"/>
      <c r="C36" s="235" t="s">
        <v>982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  <c r="S36" s="59"/>
    </row>
    <row r="37" spans="1:19" ht="13.5" customHeight="1">
      <c r="A37" s="153"/>
      <c r="B37" s="492"/>
      <c r="C37" s="234" t="s">
        <v>980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3.5" customHeight="1">
      <c r="A38" s="153"/>
      <c r="B38" s="492"/>
      <c r="C38" s="124" t="s">
        <v>981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 customHeight="1">
      <c r="A39" s="153"/>
      <c r="B39" s="492"/>
      <c r="C39" s="235" t="s">
        <v>982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3.5" customHeight="1">
      <c r="A40" s="153"/>
      <c r="B40" s="491"/>
      <c r="C40" s="234" t="s">
        <v>980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3.5" customHeight="1">
      <c r="A41" s="153"/>
      <c r="B41" s="492"/>
      <c r="C41" s="124" t="s">
        <v>981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3.5" customHeight="1">
      <c r="A42" s="153"/>
      <c r="B42" s="493"/>
      <c r="C42" s="143" t="s">
        <v>982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9" spans="1:19" ht="15.75">
      <c r="A49" s="585" t="str">
        <f>"- "&amp;Sheet1!L37&amp;" -"</f>
        <v>-  -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 t="str">
        <f>"- "&amp;Sheet1!M37&amp;" -"</f>
        <v>-  -</v>
      </c>
      <c r="L49" s="585"/>
      <c r="M49" s="585"/>
      <c r="N49" s="585"/>
      <c r="O49" s="585"/>
      <c r="P49" s="585"/>
      <c r="Q49" s="585"/>
      <c r="R49" s="585"/>
      <c r="S49" s="585"/>
    </row>
  </sheetData>
  <sheetProtection/>
  <mergeCells count="24">
    <mergeCell ref="A1:J1"/>
    <mergeCell ref="K1:S1"/>
    <mergeCell ref="P5:S5"/>
    <mergeCell ref="A5:C6"/>
    <mergeCell ref="D5:D6"/>
    <mergeCell ref="E5:E6"/>
    <mergeCell ref="F5:J5"/>
    <mergeCell ref="K5:O5"/>
    <mergeCell ref="B19:B21"/>
    <mergeCell ref="B22:B24"/>
    <mergeCell ref="L3:R3"/>
    <mergeCell ref="C3:I3"/>
    <mergeCell ref="B7:B9"/>
    <mergeCell ref="B10:B12"/>
    <mergeCell ref="B13:B15"/>
    <mergeCell ref="B16:B18"/>
    <mergeCell ref="B25:B27"/>
    <mergeCell ref="B28:B30"/>
    <mergeCell ref="A49:J49"/>
    <mergeCell ref="K49:S49"/>
    <mergeCell ref="B31:B33"/>
    <mergeCell ref="B34:B36"/>
    <mergeCell ref="B37:B39"/>
    <mergeCell ref="B40:B4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R49"/>
  <sheetViews>
    <sheetView zoomScale="85" zoomScaleNormal="85" zoomScalePageLayoutView="0" workbookViewId="0" topLeftCell="A1">
      <selection activeCell="F6" sqref="F6:S6"/>
    </sheetView>
  </sheetViews>
  <sheetFormatPr defaultColWidth="9.00390625" defaultRowHeight="16.5"/>
  <cols>
    <col min="1" max="1" width="6.50390625" style="85" customWidth="1"/>
    <col min="2" max="2" width="9.50390625" style="85" customWidth="1"/>
    <col min="3" max="3" width="10.25390625" style="85" customWidth="1"/>
    <col min="4" max="4" width="11.00390625" style="85" customWidth="1"/>
    <col min="5" max="5" width="9.125" style="85" customWidth="1"/>
    <col min="6" max="14" width="8.75390625" style="85" customWidth="1"/>
    <col min="15" max="15" width="9.00390625" style="85" customWidth="1"/>
    <col min="16" max="16" width="9.50390625" style="85" customWidth="1"/>
    <col min="17" max="17" width="10.125" style="85" customWidth="1"/>
    <col min="18" max="18" width="10.00390625" style="85" customWidth="1"/>
    <col min="19" max="19" width="10.125" style="85" customWidth="1"/>
    <col min="20" max="16384" width="9.00390625" style="85" customWidth="1"/>
  </cols>
  <sheetData>
    <row r="1" spans="1:19" s="98" customFormat="1" ht="21.75" customHeight="1">
      <c r="A1" s="505" t="s">
        <v>63</v>
      </c>
      <c r="B1" s="505"/>
      <c r="C1" s="505"/>
      <c r="D1" s="505"/>
      <c r="E1" s="505"/>
      <c r="F1" s="505"/>
      <c r="G1" s="505"/>
      <c r="H1" s="505"/>
      <c r="I1" s="505"/>
      <c r="J1" s="505"/>
      <c r="K1" s="505" t="s">
        <v>64</v>
      </c>
      <c r="L1" s="505"/>
      <c r="M1" s="505"/>
      <c r="N1" s="505"/>
      <c r="O1" s="505"/>
      <c r="P1" s="505"/>
      <c r="Q1" s="505"/>
      <c r="R1" s="505"/>
      <c r="S1" s="505"/>
    </row>
    <row r="2" spans="1:19" ht="12" customHeight="1">
      <c r="A2" s="33"/>
      <c r="B2" s="33"/>
      <c r="C2" s="33"/>
      <c r="D2" s="33"/>
      <c r="E2" s="33"/>
      <c r="F2" s="33"/>
      <c r="G2" s="33"/>
      <c r="H2" s="33"/>
      <c r="I2" s="33"/>
      <c r="J2" s="2"/>
      <c r="K2" s="2"/>
      <c r="L2" s="33"/>
      <c r="M2" s="33"/>
      <c r="N2" s="33"/>
      <c r="O2" s="33"/>
      <c r="P2" s="33"/>
      <c r="Q2" s="33"/>
      <c r="R2" s="33"/>
      <c r="S2" s="33"/>
    </row>
    <row r="3" spans="1:19" s="97" customFormat="1" ht="15" customHeight="1">
      <c r="A3" s="66"/>
      <c r="B3" s="66"/>
      <c r="C3" s="461"/>
      <c r="D3" s="461"/>
      <c r="E3" s="461"/>
      <c r="F3" s="461"/>
      <c r="G3" s="461"/>
      <c r="H3" s="461"/>
      <c r="I3" s="461"/>
      <c r="J3" s="4" t="s">
        <v>761</v>
      </c>
      <c r="K3" s="5"/>
      <c r="L3" s="595"/>
      <c r="M3" s="595"/>
      <c r="N3" s="595"/>
      <c r="O3" s="595"/>
      <c r="P3" s="595"/>
      <c r="Q3" s="595"/>
      <c r="R3" s="595"/>
      <c r="S3" s="238" t="s">
        <v>694</v>
      </c>
    </row>
    <row r="4" spans="1:19" s="25" customFormat="1" ht="4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2" customFormat="1" ht="27.75" customHeight="1">
      <c r="A5" s="591"/>
      <c r="B5" s="591"/>
      <c r="C5" s="592"/>
      <c r="D5" s="507" t="s">
        <v>762</v>
      </c>
      <c r="E5" s="507" t="s">
        <v>977</v>
      </c>
      <c r="F5" s="495" t="s">
        <v>67</v>
      </c>
      <c r="G5" s="596"/>
      <c r="H5" s="596"/>
      <c r="I5" s="596"/>
      <c r="J5" s="596"/>
      <c r="K5" s="496" t="s">
        <v>979</v>
      </c>
      <c r="L5" s="596"/>
      <c r="M5" s="596"/>
      <c r="N5" s="596"/>
      <c r="O5" s="597"/>
      <c r="P5" s="495" t="s">
        <v>764</v>
      </c>
      <c r="Q5" s="496"/>
      <c r="R5" s="496"/>
      <c r="S5" s="496"/>
    </row>
    <row r="6" spans="1:19" s="42" customFormat="1" ht="78.75" customHeight="1">
      <c r="A6" s="593"/>
      <c r="B6" s="593"/>
      <c r="C6" s="594"/>
      <c r="D6" s="517"/>
      <c r="E6" s="517"/>
      <c r="F6" s="123" t="s">
        <v>785</v>
      </c>
      <c r="G6" s="123" t="s">
        <v>808</v>
      </c>
      <c r="H6" s="123" t="s">
        <v>787</v>
      </c>
      <c r="I6" s="52" t="s">
        <v>788</v>
      </c>
      <c r="J6" s="52" t="s">
        <v>789</v>
      </c>
      <c r="K6" s="123" t="s">
        <v>790</v>
      </c>
      <c r="L6" s="123" t="s">
        <v>791</v>
      </c>
      <c r="M6" s="123" t="s">
        <v>792</v>
      </c>
      <c r="N6" s="123" t="s">
        <v>793</v>
      </c>
      <c r="O6" s="51" t="s">
        <v>794</v>
      </c>
      <c r="P6" s="118" t="s">
        <v>927</v>
      </c>
      <c r="Q6" s="117" t="s">
        <v>928</v>
      </c>
      <c r="R6" s="117" t="s">
        <v>937</v>
      </c>
      <c r="S6" s="120" t="s">
        <v>711</v>
      </c>
    </row>
    <row r="7" spans="1:44" s="93" customFormat="1" ht="13.5" customHeight="1">
      <c r="A7" s="236"/>
      <c r="B7" s="507"/>
      <c r="C7" s="234" t="s">
        <v>980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s="93" customFormat="1" ht="13.5" customHeight="1">
      <c r="A8" s="153"/>
      <c r="B8" s="516"/>
      <c r="C8" s="124" t="s">
        <v>981</v>
      </c>
      <c r="D8" s="2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93" customFormat="1" ht="13.5" customHeight="1">
      <c r="A9" s="153"/>
      <c r="B9" s="517"/>
      <c r="C9" s="235" t="s">
        <v>982</v>
      </c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19" s="93" customFormat="1" ht="13.5" customHeight="1">
      <c r="A10" s="153"/>
      <c r="B10" s="491"/>
      <c r="C10" s="234" t="s">
        <v>980</v>
      </c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93" customFormat="1" ht="13.5" customHeight="1">
      <c r="A11" s="153"/>
      <c r="B11" s="492"/>
      <c r="C11" s="124" t="s">
        <v>981</v>
      </c>
      <c r="D11" s="64"/>
      <c r="E11" s="49"/>
      <c r="F11" s="58"/>
      <c r="G11" s="49"/>
      <c r="H11" s="49"/>
      <c r="I11" s="49"/>
      <c r="J11" s="59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93" customFormat="1" ht="13.5" customHeight="1">
      <c r="A12" s="153"/>
      <c r="B12" s="493"/>
      <c r="C12" s="235" t="s">
        <v>982</v>
      </c>
      <c r="D12" s="64"/>
      <c r="E12" s="49"/>
      <c r="F12" s="58"/>
      <c r="G12" s="49"/>
      <c r="H12" s="49"/>
      <c r="I12" s="49"/>
      <c r="J12" s="59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93" customFormat="1" ht="13.5" customHeight="1">
      <c r="A13" s="153"/>
      <c r="B13" s="491"/>
      <c r="C13" s="234" t="s">
        <v>980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s="93" customFormat="1" ht="13.5" customHeight="1">
      <c r="A14" s="153"/>
      <c r="B14" s="492"/>
      <c r="C14" s="124" t="s">
        <v>981</v>
      </c>
      <c r="D14" s="64"/>
      <c r="E14" s="49"/>
      <c r="F14" s="58"/>
      <c r="G14" s="49"/>
      <c r="H14" s="49"/>
      <c r="I14" s="49"/>
      <c r="J14" s="59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93" customFormat="1" ht="13.5" customHeight="1">
      <c r="A15" s="153"/>
      <c r="B15" s="493"/>
      <c r="C15" s="235" t="s">
        <v>982</v>
      </c>
      <c r="D15" s="64"/>
      <c r="E15" s="49"/>
      <c r="F15" s="58"/>
      <c r="G15" s="49"/>
      <c r="H15" s="49"/>
      <c r="I15" s="49"/>
      <c r="J15" s="59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93" customFormat="1" ht="13.5" customHeight="1">
      <c r="A16" s="153"/>
      <c r="B16" s="491"/>
      <c r="C16" s="234" t="s">
        <v>980</v>
      </c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s="93" customFormat="1" ht="13.5" customHeight="1">
      <c r="A17" s="153"/>
      <c r="B17" s="492"/>
      <c r="C17" s="124" t="s">
        <v>981</v>
      </c>
      <c r="D17" s="6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93" customFormat="1" ht="13.5" customHeight="1">
      <c r="A18" s="153"/>
      <c r="B18" s="492"/>
      <c r="C18" s="235" t="s">
        <v>982</v>
      </c>
      <c r="D18" s="6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93" customFormat="1" ht="13.5" customHeight="1">
      <c r="A19" s="153"/>
      <c r="B19" s="491"/>
      <c r="C19" s="234" t="s">
        <v>980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s="93" customFormat="1" ht="13.5" customHeight="1">
      <c r="A20" s="153"/>
      <c r="B20" s="492"/>
      <c r="C20" s="124" t="s">
        <v>981</v>
      </c>
      <c r="D20" s="64"/>
      <c r="E20" s="49"/>
      <c r="F20" s="58"/>
      <c r="G20" s="49"/>
      <c r="H20" s="49"/>
      <c r="I20" s="49"/>
      <c r="J20" s="59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93" customFormat="1" ht="13.5" customHeight="1">
      <c r="A21" s="153"/>
      <c r="B21" s="492"/>
      <c r="C21" s="235" t="s">
        <v>982</v>
      </c>
      <c r="D21" s="64"/>
      <c r="E21" s="49"/>
      <c r="F21" s="58"/>
      <c r="G21" s="49"/>
      <c r="H21" s="49"/>
      <c r="I21" s="49"/>
      <c r="J21" s="59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93" customFormat="1" ht="13.5" customHeight="1">
      <c r="A22" s="153"/>
      <c r="B22" s="491"/>
      <c r="C22" s="234" t="s">
        <v>980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s="93" customFormat="1" ht="13.5" customHeight="1">
      <c r="A23" s="153"/>
      <c r="B23" s="492"/>
      <c r="C23" s="124" t="s">
        <v>981</v>
      </c>
      <c r="D23" s="64"/>
      <c r="E23" s="49"/>
      <c r="F23" s="58"/>
      <c r="G23" s="49"/>
      <c r="H23" s="49"/>
      <c r="I23" s="49"/>
      <c r="J23" s="59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93" customFormat="1" ht="13.5" customHeight="1">
      <c r="A24" s="153"/>
      <c r="B24" s="493"/>
      <c r="C24" s="235" t="s">
        <v>982</v>
      </c>
      <c r="D24" s="64"/>
      <c r="E24" s="49"/>
      <c r="F24" s="58"/>
      <c r="G24" s="49"/>
      <c r="H24" s="49"/>
      <c r="I24" s="49"/>
      <c r="J24" s="59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93" customFormat="1" ht="13.5" customHeight="1">
      <c r="A25" s="153"/>
      <c r="B25" s="494"/>
      <c r="C25" s="234" t="s">
        <v>980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s="93" customFormat="1" ht="13.5" customHeight="1">
      <c r="A26" s="153"/>
      <c r="B26" s="494"/>
      <c r="C26" s="124" t="s">
        <v>981</v>
      </c>
      <c r="D26" s="64"/>
      <c r="E26" s="49"/>
      <c r="F26" s="58"/>
      <c r="G26" s="49"/>
      <c r="H26" s="49"/>
      <c r="I26" s="49"/>
      <c r="J26" s="59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93" customFormat="1" ht="13.5" customHeight="1">
      <c r="A27" s="153"/>
      <c r="B27" s="494"/>
      <c r="C27" s="235" t="s">
        <v>982</v>
      </c>
      <c r="D27" s="64"/>
      <c r="E27" s="49"/>
      <c r="F27" s="58"/>
      <c r="G27" s="49"/>
      <c r="H27" s="49"/>
      <c r="I27" s="49"/>
      <c r="J27" s="59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93" customFormat="1" ht="13.5" customHeight="1">
      <c r="A28" s="153"/>
      <c r="B28" s="507"/>
      <c r="C28" s="234" t="s">
        <v>980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20" s="93" customFormat="1" ht="13.5" customHeight="1">
      <c r="A29" s="153"/>
      <c r="B29" s="516"/>
      <c r="C29" s="124" t="s">
        <v>981</v>
      </c>
      <c r="D29" s="64"/>
      <c r="E29" s="49"/>
      <c r="F29" s="58"/>
      <c r="G29" s="49"/>
      <c r="H29" s="49"/>
      <c r="I29" s="49"/>
      <c r="J29" s="59"/>
      <c r="K29" s="58"/>
      <c r="L29" s="58"/>
      <c r="M29" s="58"/>
      <c r="N29" s="58"/>
      <c r="O29" s="58"/>
      <c r="P29" s="58"/>
      <c r="Q29" s="58"/>
      <c r="R29" s="58"/>
      <c r="S29" s="58"/>
      <c r="T29" s="94"/>
    </row>
    <row r="30" spans="1:20" s="93" customFormat="1" ht="13.5" customHeight="1">
      <c r="A30" s="153"/>
      <c r="B30" s="517"/>
      <c r="C30" s="235" t="s">
        <v>982</v>
      </c>
      <c r="D30" s="64"/>
      <c r="E30" s="49"/>
      <c r="F30" s="58"/>
      <c r="G30" s="49"/>
      <c r="H30" s="49"/>
      <c r="I30" s="49"/>
      <c r="J30" s="59"/>
      <c r="K30" s="58"/>
      <c r="L30" s="58"/>
      <c r="M30" s="58"/>
      <c r="N30" s="58"/>
      <c r="O30" s="58"/>
      <c r="P30" s="58"/>
      <c r="Q30" s="58"/>
      <c r="R30" s="58"/>
      <c r="S30" s="58"/>
      <c r="T30" s="94"/>
    </row>
    <row r="31" spans="1:19" s="93" customFormat="1" ht="13.5" customHeight="1">
      <c r="A31" s="153"/>
      <c r="B31" s="491"/>
      <c r="C31" s="234" t="s">
        <v>980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20" s="93" customFormat="1" ht="13.5" customHeight="1">
      <c r="A32" s="153"/>
      <c r="B32" s="492"/>
      <c r="C32" s="124" t="s">
        <v>981</v>
      </c>
      <c r="D32" s="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94"/>
    </row>
    <row r="33" spans="1:20" s="93" customFormat="1" ht="13.5" customHeight="1">
      <c r="A33" s="153"/>
      <c r="B33" s="493"/>
      <c r="C33" s="235" t="s">
        <v>982</v>
      </c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94"/>
    </row>
    <row r="34" spans="1:19" ht="13.5" customHeight="1">
      <c r="A34" s="153"/>
      <c r="B34" s="491"/>
      <c r="C34" s="234" t="s">
        <v>980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3.5" customHeight="1">
      <c r="A35" s="153"/>
      <c r="B35" s="492"/>
      <c r="C35" s="124" t="s">
        <v>981</v>
      </c>
      <c r="D35" s="64"/>
      <c r="E35" s="49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9"/>
      <c r="R35" s="59"/>
      <c r="S35" s="59"/>
    </row>
    <row r="36" spans="1:19" ht="13.5" customHeight="1">
      <c r="A36" s="153"/>
      <c r="B36" s="493"/>
      <c r="C36" s="235" t="s">
        <v>982</v>
      </c>
      <c r="D36" s="64"/>
      <c r="E36" s="49"/>
      <c r="F36" s="59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59"/>
      <c r="S36" s="59"/>
    </row>
    <row r="37" spans="1:19" ht="13.5" customHeight="1">
      <c r="A37" s="153"/>
      <c r="B37" s="492"/>
      <c r="C37" s="234" t="s">
        <v>980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3.5" customHeight="1">
      <c r="A38" s="153"/>
      <c r="B38" s="492"/>
      <c r="C38" s="124" t="s">
        <v>981</v>
      </c>
      <c r="D38" s="2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 customHeight="1">
      <c r="A39" s="153"/>
      <c r="B39" s="492"/>
      <c r="C39" s="235" t="s">
        <v>982</v>
      </c>
      <c r="D39" s="2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3.5" customHeight="1">
      <c r="A40" s="153"/>
      <c r="B40" s="491"/>
      <c r="C40" s="234" t="s">
        <v>980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3.5" customHeight="1">
      <c r="A41" s="153"/>
      <c r="B41" s="492"/>
      <c r="C41" s="124" t="s">
        <v>981</v>
      </c>
      <c r="D41" s="2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3.5" customHeight="1">
      <c r="A42" s="153"/>
      <c r="B42" s="493"/>
      <c r="C42" s="143" t="s">
        <v>982</v>
      </c>
      <c r="D42" s="2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9" spans="1:19" ht="15.75">
      <c r="A49" s="585" t="str">
        <f>"- "&amp;Sheet1!N37&amp;" -"</f>
        <v>-  -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 t="str">
        <f>"- "&amp;Sheet1!O37&amp;" -"</f>
        <v>-  -</v>
      </c>
      <c r="L49" s="585"/>
      <c r="M49" s="585"/>
      <c r="N49" s="585"/>
      <c r="O49" s="585"/>
      <c r="P49" s="585"/>
      <c r="Q49" s="585"/>
      <c r="R49" s="585"/>
      <c r="S49" s="585"/>
    </row>
  </sheetData>
  <sheetProtection/>
  <mergeCells count="24">
    <mergeCell ref="B37:B39"/>
    <mergeCell ref="B40:B42"/>
    <mergeCell ref="B25:B27"/>
    <mergeCell ref="B28:B30"/>
    <mergeCell ref="B31:B33"/>
    <mergeCell ref="B34:B36"/>
    <mergeCell ref="A1:J1"/>
    <mergeCell ref="K1:S1"/>
    <mergeCell ref="P5:S5"/>
    <mergeCell ref="A5:C6"/>
    <mergeCell ref="D5:D6"/>
    <mergeCell ref="E5:E6"/>
    <mergeCell ref="F5:J5"/>
    <mergeCell ref="K5:O5"/>
    <mergeCell ref="A49:J49"/>
    <mergeCell ref="K49:S49"/>
    <mergeCell ref="L3:R3"/>
    <mergeCell ref="C3:I3"/>
    <mergeCell ref="B7:B9"/>
    <mergeCell ref="B10:B12"/>
    <mergeCell ref="B13:B15"/>
    <mergeCell ref="B16:B18"/>
    <mergeCell ref="B19:B21"/>
    <mergeCell ref="B22:B2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S54"/>
  <sheetViews>
    <sheetView view="pageLayout" zoomScale="130" zoomScaleNormal="130" zoomScaleSheetLayoutView="85" zoomScalePageLayoutView="130" workbookViewId="0" topLeftCell="A44">
      <selection activeCell="A54" sqref="A54:I54"/>
    </sheetView>
  </sheetViews>
  <sheetFormatPr defaultColWidth="9.00390625" defaultRowHeight="16.5"/>
  <cols>
    <col min="1" max="1" width="13.625" style="85" customWidth="1"/>
    <col min="2" max="2" width="11.125" style="85" customWidth="1"/>
    <col min="3" max="3" width="8.50390625" style="85" customWidth="1"/>
    <col min="4" max="4" width="11.50390625" style="85" customWidth="1"/>
    <col min="5" max="5" width="8.50390625" style="85" customWidth="1"/>
    <col min="6" max="6" width="9.625" style="85" customWidth="1"/>
    <col min="7" max="7" width="8.375" style="85" customWidth="1"/>
    <col min="8" max="8" width="8.625" style="85" customWidth="1"/>
    <col min="9" max="9" width="11.25390625" style="85" customWidth="1"/>
    <col min="10" max="10" width="9.625" style="85" customWidth="1"/>
    <col min="11" max="15" width="8.625" style="85" customWidth="1"/>
    <col min="16" max="16" width="9.25390625" style="85" customWidth="1"/>
    <col min="17" max="17" width="9.625" style="85" customWidth="1"/>
    <col min="18" max="18" width="10.25390625" style="85" customWidth="1"/>
    <col min="19" max="19" width="10.00390625" style="85" customWidth="1"/>
    <col min="20" max="16384" width="9.00390625" style="85" customWidth="1"/>
  </cols>
  <sheetData>
    <row r="1" spans="1:19" s="98" customFormat="1" ht="21.75" customHeight="1">
      <c r="A1" s="539" t="s">
        <v>743</v>
      </c>
      <c r="B1" s="505"/>
      <c r="C1" s="505"/>
      <c r="D1" s="505"/>
      <c r="E1" s="505"/>
      <c r="F1" s="505"/>
      <c r="G1" s="505"/>
      <c r="H1" s="505"/>
      <c r="I1" s="65"/>
      <c r="J1" s="505" t="s">
        <v>742</v>
      </c>
      <c r="K1" s="505"/>
      <c r="L1" s="505"/>
      <c r="M1" s="505"/>
      <c r="N1" s="505"/>
      <c r="O1" s="505"/>
      <c r="P1" s="505"/>
      <c r="Q1" s="505"/>
      <c r="R1" s="505"/>
      <c r="S1" s="505"/>
    </row>
    <row r="2" spans="1:19" s="97" customFormat="1" ht="15" customHeight="1">
      <c r="A2" s="460" t="s">
        <v>755</v>
      </c>
      <c r="B2" s="461"/>
      <c r="C2" s="461"/>
      <c r="D2" s="461"/>
      <c r="E2" s="461"/>
      <c r="F2" s="461"/>
      <c r="G2" s="461"/>
      <c r="H2" s="461"/>
      <c r="I2" s="100" t="s">
        <v>446</v>
      </c>
      <c r="J2" s="475" t="s">
        <v>756</v>
      </c>
      <c r="K2" s="475"/>
      <c r="L2" s="475"/>
      <c r="M2" s="475"/>
      <c r="N2" s="475"/>
      <c r="O2" s="475"/>
      <c r="P2" s="475"/>
      <c r="Q2" s="475"/>
      <c r="R2" s="475"/>
      <c r="S2" s="3" t="s">
        <v>943</v>
      </c>
    </row>
    <row r="3" spans="1:19" s="42" customFormat="1" ht="21" customHeight="1">
      <c r="A3" s="591"/>
      <c r="B3" s="591"/>
      <c r="C3" s="592"/>
      <c r="D3" s="507" t="s">
        <v>762</v>
      </c>
      <c r="E3" s="507" t="s">
        <v>977</v>
      </c>
      <c r="F3" s="631" t="s">
        <v>950</v>
      </c>
      <c r="G3" s="632"/>
      <c r="H3" s="632"/>
      <c r="I3" s="632"/>
      <c r="J3" s="487" t="s">
        <v>979</v>
      </c>
      <c r="K3" s="496"/>
      <c r="L3" s="496"/>
      <c r="M3" s="496"/>
      <c r="N3" s="496"/>
      <c r="O3" s="514"/>
      <c r="P3" s="495" t="s">
        <v>951</v>
      </c>
      <c r="Q3" s="496"/>
      <c r="R3" s="496"/>
      <c r="S3" s="496"/>
    </row>
    <row r="4" spans="1:19" s="42" customFormat="1" ht="53.25" customHeight="1">
      <c r="A4" s="627"/>
      <c r="B4" s="627"/>
      <c r="C4" s="628"/>
      <c r="D4" s="517"/>
      <c r="E4" s="517"/>
      <c r="F4" s="123" t="s">
        <v>785</v>
      </c>
      <c r="G4" s="123" t="s">
        <v>808</v>
      </c>
      <c r="H4" s="123" t="s">
        <v>787</v>
      </c>
      <c r="I4" s="51" t="s">
        <v>741</v>
      </c>
      <c r="J4" s="52" t="s">
        <v>740</v>
      </c>
      <c r="K4" s="52" t="s">
        <v>790</v>
      </c>
      <c r="L4" s="123" t="s">
        <v>791</v>
      </c>
      <c r="M4" s="123" t="s">
        <v>792</v>
      </c>
      <c r="N4" s="123" t="s">
        <v>793</v>
      </c>
      <c r="O4" s="51" t="s">
        <v>794</v>
      </c>
      <c r="P4" s="118" t="s">
        <v>927</v>
      </c>
      <c r="Q4" s="117" t="s">
        <v>928</v>
      </c>
      <c r="R4" s="117" t="s">
        <v>937</v>
      </c>
      <c r="S4" s="120" t="s">
        <v>807</v>
      </c>
    </row>
    <row r="5" spans="1:19" s="42" customFormat="1" ht="30" customHeight="1">
      <c r="A5" s="496" t="s">
        <v>944</v>
      </c>
      <c r="B5" s="514"/>
      <c r="C5" s="141" t="s">
        <v>994</v>
      </c>
      <c r="D5" s="212">
        <v>4852</v>
      </c>
      <c r="E5" s="213">
        <v>42.44661995053586</v>
      </c>
      <c r="F5" s="213">
        <v>19</v>
      </c>
      <c r="G5" s="213">
        <v>25</v>
      </c>
      <c r="H5" s="213">
        <v>209</v>
      </c>
      <c r="I5" s="213">
        <v>1085</v>
      </c>
      <c r="J5" s="353">
        <v>1243</v>
      </c>
      <c r="K5" s="213">
        <v>1104</v>
      </c>
      <c r="L5" s="213">
        <v>572</v>
      </c>
      <c r="M5" s="213">
        <v>371</v>
      </c>
      <c r="N5" s="213">
        <v>159</v>
      </c>
      <c r="O5" s="213">
        <v>65</v>
      </c>
      <c r="P5" s="213">
        <v>111</v>
      </c>
      <c r="Q5" s="213">
        <v>2034</v>
      </c>
      <c r="R5" s="213">
        <v>2688</v>
      </c>
      <c r="S5" s="213">
        <v>19</v>
      </c>
    </row>
    <row r="6" spans="1:19" s="103" customFormat="1" ht="16.5" customHeight="1">
      <c r="A6" s="625" t="s">
        <v>611</v>
      </c>
      <c r="B6" s="626"/>
      <c r="C6" s="626"/>
      <c r="D6" s="626"/>
      <c r="E6" s="626"/>
      <c r="F6" s="626"/>
      <c r="G6" s="626"/>
      <c r="H6" s="626"/>
      <c r="I6" s="47" t="s">
        <v>668</v>
      </c>
      <c r="J6" s="177"/>
      <c r="K6" s="177"/>
      <c r="L6" s="177"/>
      <c r="M6" s="194"/>
      <c r="N6" s="608" t="s">
        <v>612</v>
      </c>
      <c r="O6" s="608"/>
      <c r="P6" s="608"/>
      <c r="Q6" s="193"/>
      <c r="R6" s="146" t="s">
        <v>945</v>
      </c>
      <c r="S6" s="193"/>
    </row>
    <row r="7" spans="1:19" s="325" customFormat="1" ht="13.5" customHeight="1">
      <c r="A7" s="611" t="s">
        <v>739</v>
      </c>
      <c r="B7" s="612"/>
      <c r="C7" s="612"/>
      <c r="D7" s="612"/>
      <c r="E7" s="614" t="s">
        <v>738</v>
      </c>
      <c r="F7" s="612"/>
      <c r="G7" s="614" t="s">
        <v>737</v>
      </c>
      <c r="H7" s="612"/>
      <c r="I7" s="616" t="s">
        <v>736</v>
      </c>
      <c r="J7" s="618" t="s">
        <v>735</v>
      </c>
      <c r="K7" s="615" t="s">
        <v>734</v>
      </c>
      <c r="L7" s="612"/>
      <c r="M7" s="612"/>
      <c r="N7" s="609" t="s">
        <v>733</v>
      </c>
      <c r="O7" s="610"/>
      <c r="P7" s="610"/>
      <c r="Q7" s="610"/>
      <c r="R7" s="610"/>
      <c r="S7" s="610"/>
    </row>
    <row r="8" spans="1:19" s="324" customFormat="1" ht="35.25" customHeight="1">
      <c r="A8" s="613"/>
      <c r="B8" s="612"/>
      <c r="C8" s="612"/>
      <c r="D8" s="612"/>
      <c r="E8" s="612"/>
      <c r="F8" s="612"/>
      <c r="G8" s="612"/>
      <c r="H8" s="612"/>
      <c r="I8" s="617"/>
      <c r="J8" s="619"/>
      <c r="K8" s="613"/>
      <c r="L8" s="612"/>
      <c r="M8" s="612"/>
      <c r="N8" s="609" t="s">
        <v>732</v>
      </c>
      <c r="O8" s="636"/>
      <c r="P8" s="609" t="s">
        <v>731</v>
      </c>
      <c r="Q8" s="636"/>
      <c r="R8" s="609" t="s">
        <v>730</v>
      </c>
      <c r="S8" s="637"/>
    </row>
    <row r="9" spans="1:19" s="102" customFormat="1" ht="15" customHeight="1">
      <c r="A9" s="376" t="s">
        <v>946</v>
      </c>
      <c r="B9" s="603" t="s">
        <v>947</v>
      </c>
      <c r="C9" s="604"/>
      <c r="D9" s="605"/>
      <c r="E9" s="622">
        <v>1407373</v>
      </c>
      <c r="F9" s="621"/>
      <c r="G9" s="621">
        <v>14695</v>
      </c>
      <c r="H9" s="621"/>
      <c r="I9" s="621">
        <v>451892</v>
      </c>
      <c r="J9" s="621"/>
      <c r="K9" s="621">
        <v>716239</v>
      </c>
      <c r="L9" s="621"/>
      <c r="M9" s="621"/>
      <c r="N9" s="56"/>
      <c r="O9" s="56">
        <f>O12+O15+O18+O21+O24+O27+O30+O33+O36</f>
        <v>224547</v>
      </c>
      <c r="P9" s="56"/>
      <c r="Q9" s="56">
        <f>Q12+Q15+Q18</f>
        <v>66133</v>
      </c>
      <c r="R9" s="56"/>
      <c r="S9" s="56">
        <f>S12+S15+S18</f>
        <v>15679</v>
      </c>
    </row>
    <row r="10" spans="1:19" s="102" customFormat="1" ht="15" customHeight="1">
      <c r="A10" s="623"/>
      <c r="B10" s="607" t="s">
        <v>948</v>
      </c>
      <c r="C10" s="604"/>
      <c r="D10" s="605"/>
      <c r="E10" s="620">
        <v>1129640</v>
      </c>
      <c r="F10" s="602"/>
      <c r="G10" s="602">
        <v>14695</v>
      </c>
      <c r="H10" s="602"/>
      <c r="I10" s="602">
        <v>383431</v>
      </c>
      <c r="J10" s="602"/>
      <c r="K10" s="602">
        <v>536454</v>
      </c>
      <c r="L10" s="602"/>
      <c r="M10" s="602"/>
      <c r="N10" s="10"/>
      <c r="O10" s="10">
        <f>O13+O16+O19+O22+O25+O28+O31+O34+O37</f>
        <v>195060</v>
      </c>
      <c r="P10" s="10"/>
      <c r="Q10" s="10">
        <f>Q13+Q16+Q19+Q22+Q25+Q28+Q31+Q34+Q37</f>
        <v>43036</v>
      </c>
      <c r="R10" s="10"/>
      <c r="S10" s="10">
        <f>S13+S16+S19+S22+S25+S28+S31+S34+S37</f>
        <v>11098</v>
      </c>
    </row>
    <row r="11" spans="1:19" s="102" customFormat="1" ht="15" customHeight="1">
      <c r="A11" s="378"/>
      <c r="B11" s="607" t="s">
        <v>949</v>
      </c>
      <c r="C11" s="604"/>
      <c r="D11" s="605"/>
      <c r="E11" s="620">
        <v>277733</v>
      </c>
      <c r="F11" s="602"/>
      <c r="G11" s="602"/>
      <c r="H11" s="602"/>
      <c r="I11" s="602">
        <v>68461</v>
      </c>
      <c r="J11" s="602"/>
      <c r="K11" s="602">
        <v>179785</v>
      </c>
      <c r="L11" s="602"/>
      <c r="M11" s="602"/>
      <c r="N11" s="10"/>
      <c r="O11" s="10">
        <f>O14+O17+O20+O23+O26+O29+O32+O35+O38</f>
        <v>29487</v>
      </c>
      <c r="P11" s="10"/>
      <c r="Q11" s="10">
        <f>Q14+Q17+Q20+Q23+Q26+Q29+Q32+Q35+Q38</f>
        <v>23097</v>
      </c>
      <c r="R11" s="10"/>
      <c r="S11" s="10">
        <f>S14+S17+S20+S23+S26+S29+S32+S35+S38</f>
        <v>4581</v>
      </c>
    </row>
    <row r="12" spans="1:19" s="42" customFormat="1" ht="15" customHeight="1">
      <c r="A12" s="492" t="s">
        <v>613</v>
      </c>
      <c r="B12" s="603" t="s">
        <v>947</v>
      </c>
      <c r="C12" s="604"/>
      <c r="D12" s="605"/>
      <c r="E12" s="606">
        <v>219953</v>
      </c>
      <c r="F12" s="601"/>
      <c r="G12" s="601"/>
      <c r="H12" s="601"/>
      <c r="I12" s="601">
        <v>56504</v>
      </c>
      <c r="J12" s="601"/>
      <c r="K12" s="601">
        <v>146764</v>
      </c>
      <c r="L12" s="601"/>
      <c r="M12" s="601"/>
      <c r="N12" s="195"/>
      <c r="O12" s="110">
        <f aca="true" t="shared" si="0" ref="O12:O20">Q12+S12</f>
        <v>16685</v>
      </c>
      <c r="P12" s="110"/>
      <c r="Q12" s="110">
        <v>15318</v>
      </c>
      <c r="R12" s="110"/>
      <c r="S12" s="110">
        <v>1367</v>
      </c>
    </row>
    <row r="13" spans="1:19" s="42" customFormat="1" ht="15" customHeight="1">
      <c r="A13" s="492"/>
      <c r="B13" s="607" t="s">
        <v>948</v>
      </c>
      <c r="C13" s="604"/>
      <c r="D13" s="605"/>
      <c r="E13" s="620">
        <v>179806</v>
      </c>
      <c r="F13" s="602"/>
      <c r="G13" s="602"/>
      <c r="H13" s="602"/>
      <c r="I13" s="602">
        <v>52010</v>
      </c>
      <c r="J13" s="602"/>
      <c r="K13" s="602">
        <v>115856</v>
      </c>
      <c r="L13" s="602"/>
      <c r="M13" s="602"/>
      <c r="N13" s="9"/>
      <c r="O13" s="10">
        <f t="shared" si="0"/>
        <v>11940</v>
      </c>
      <c r="P13" s="10"/>
      <c r="Q13" s="10">
        <v>10859</v>
      </c>
      <c r="R13" s="10"/>
      <c r="S13" s="10">
        <v>1081</v>
      </c>
    </row>
    <row r="14" spans="1:19" s="42" customFormat="1" ht="15" customHeight="1">
      <c r="A14" s="492"/>
      <c r="B14" s="607" t="s">
        <v>949</v>
      </c>
      <c r="C14" s="604"/>
      <c r="D14" s="605"/>
      <c r="E14" s="620">
        <v>40147</v>
      </c>
      <c r="F14" s="602"/>
      <c r="G14" s="602"/>
      <c r="H14" s="602"/>
      <c r="I14" s="602">
        <v>4494</v>
      </c>
      <c r="J14" s="602"/>
      <c r="K14" s="602">
        <v>30908</v>
      </c>
      <c r="L14" s="602"/>
      <c r="M14" s="602"/>
      <c r="N14" s="9"/>
      <c r="O14" s="10">
        <f t="shared" si="0"/>
        <v>4745</v>
      </c>
      <c r="P14" s="10"/>
      <c r="Q14" s="10">
        <v>4459</v>
      </c>
      <c r="R14" s="10"/>
      <c r="S14" s="10">
        <v>286</v>
      </c>
    </row>
    <row r="15" spans="1:19" s="42" customFormat="1" ht="15" customHeight="1">
      <c r="A15" s="491" t="s">
        <v>614</v>
      </c>
      <c r="B15" s="603" t="s">
        <v>947</v>
      </c>
      <c r="C15" s="604"/>
      <c r="D15" s="605"/>
      <c r="E15" s="606">
        <v>227237</v>
      </c>
      <c r="F15" s="601"/>
      <c r="G15" s="601"/>
      <c r="H15" s="601"/>
      <c r="I15" s="601">
        <v>41249</v>
      </c>
      <c r="J15" s="601"/>
      <c r="K15" s="601">
        <v>150962</v>
      </c>
      <c r="L15" s="601"/>
      <c r="M15" s="601"/>
      <c r="N15" s="195"/>
      <c r="O15" s="110">
        <f t="shared" si="0"/>
        <v>35026</v>
      </c>
      <c r="P15" s="110"/>
      <c r="Q15" s="110">
        <v>26767</v>
      </c>
      <c r="R15" s="110"/>
      <c r="S15" s="110">
        <v>8259</v>
      </c>
    </row>
    <row r="16" spans="1:19" s="42" customFormat="1" ht="15" customHeight="1">
      <c r="A16" s="492"/>
      <c r="B16" s="607" t="s">
        <v>948</v>
      </c>
      <c r="C16" s="604"/>
      <c r="D16" s="605"/>
      <c r="E16" s="602">
        <v>178570</v>
      </c>
      <c r="F16" s="602"/>
      <c r="G16" s="602"/>
      <c r="H16" s="602"/>
      <c r="I16" s="602">
        <v>38001</v>
      </c>
      <c r="J16" s="602"/>
      <c r="K16" s="602">
        <v>110189</v>
      </c>
      <c r="L16" s="602"/>
      <c r="M16" s="602"/>
      <c r="N16" s="9"/>
      <c r="O16" s="10">
        <f t="shared" si="0"/>
        <v>30380</v>
      </c>
      <c r="P16" s="10"/>
      <c r="Q16" s="10">
        <v>23013</v>
      </c>
      <c r="R16" s="10"/>
      <c r="S16" s="10">
        <v>7367</v>
      </c>
    </row>
    <row r="17" spans="1:19" s="42" customFormat="1" ht="15" customHeight="1">
      <c r="A17" s="493"/>
      <c r="B17" s="607" t="s">
        <v>949</v>
      </c>
      <c r="C17" s="604"/>
      <c r="D17" s="605"/>
      <c r="E17" s="602">
        <v>48667</v>
      </c>
      <c r="F17" s="602"/>
      <c r="G17" s="602"/>
      <c r="H17" s="602"/>
      <c r="I17" s="602">
        <v>3248</v>
      </c>
      <c r="J17" s="602"/>
      <c r="K17" s="602">
        <v>40773</v>
      </c>
      <c r="L17" s="602"/>
      <c r="M17" s="602"/>
      <c r="N17" s="9"/>
      <c r="O17" s="10">
        <f t="shared" si="0"/>
        <v>4646</v>
      </c>
      <c r="P17" s="10"/>
      <c r="Q17" s="10">
        <v>3754</v>
      </c>
      <c r="R17" s="10"/>
      <c r="S17" s="10">
        <v>892</v>
      </c>
    </row>
    <row r="18" spans="1:19" s="42" customFormat="1" ht="15" customHeight="1">
      <c r="A18" s="491" t="s">
        <v>615</v>
      </c>
      <c r="B18" s="603" t="s">
        <v>947</v>
      </c>
      <c r="C18" s="604"/>
      <c r="D18" s="605"/>
      <c r="E18" s="601">
        <v>114385</v>
      </c>
      <c r="F18" s="601"/>
      <c r="G18" s="601"/>
      <c r="H18" s="601"/>
      <c r="I18" s="601">
        <v>24543</v>
      </c>
      <c r="J18" s="601"/>
      <c r="K18" s="601">
        <v>59741</v>
      </c>
      <c r="L18" s="601"/>
      <c r="M18" s="601"/>
      <c r="N18" s="195"/>
      <c r="O18" s="110">
        <f t="shared" si="0"/>
        <v>30101</v>
      </c>
      <c r="P18" s="110"/>
      <c r="Q18" s="110">
        <v>24048</v>
      </c>
      <c r="R18" s="110"/>
      <c r="S18" s="110">
        <v>6053</v>
      </c>
    </row>
    <row r="19" spans="1:19" s="42" customFormat="1" ht="15" customHeight="1">
      <c r="A19" s="492"/>
      <c r="B19" s="607" t="s">
        <v>948</v>
      </c>
      <c r="C19" s="604"/>
      <c r="D19" s="605"/>
      <c r="E19" s="602">
        <v>57839</v>
      </c>
      <c r="F19" s="602"/>
      <c r="G19" s="602"/>
      <c r="H19" s="602"/>
      <c r="I19" s="602">
        <v>13308</v>
      </c>
      <c r="J19" s="602"/>
      <c r="K19" s="602">
        <v>32717</v>
      </c>
      <c r="L19" s="602"/>
      <c r="M19" s="602"/>
      <c r="N19" s="9"/>
      <c r="O19" s="10">
        <f t="shared" si="0"/>
        <v>11814</v>
      </c>
      <c r="P19" s="10"/>
      <c r="Q19" s="10">
        <v>9164</v>
      </c>
      <c r="R19" s="10"/>
      <c r="S19" s="10">
        <v>2650</v>
      </c>
    </row>
    <row r="20" spans="1:19" s="42" customFormat="1" ht="15" customHeight="1">
      <c r="A20" s="493"/>
      <c r="B20" s="607" t="s">
        <v>949</v>
      </c>
      <c r="C20" s="604"/>
      <c r="D20" s="605"/>
      <c r="E20" s="602">
        <v>56546</v>
      </c>
      <c r="F20" s="602"/>
      <c r="G20" s="602"/>
      <c r="H20" s="602"/>
      <c r="I20" s="602">
        <v>11235</v>
      </c>
      <c r="J20" s="602"/>
      <c r="K20" s="602">
        <v>27024</v>
      </c>
      <c r="L20" s="602"/>
      <c r="M20" s="602"/>
      <c r="N20" s="9"/>
      <c r="O20" s="10">
        <f t="shared" si="0"/>
        <v>18287</v>
      </c>
      <c r="P20" s="10"/>
      <c r="Q20" s="10">
        <v>14884</v>
      </c>
      <c r="R20" s="10"/>
      <c r="S20" s="10">
        <v>3403</v>
      </c>
    </row>
    <row r="21" spans="1:19" s="42" customFormat="1" ht="15" customHeight="1">
      <c r="A21" s="491" t="s">
        <v>616</v>
      </c>
      <c r="B21" s="603" t="s">
        <v>947</v>
      </c>
      <c r="C21" s="604"/>
      <c r="D21" s="605"/>
      <c r="E21" s="601">
        <v>85548</v>
      </c>
      <c r="F21" s="601"/>
      <c r="G21" s="601">
        <v>1262</v>
      </c>
      <c r="H21" s="601"/>
      <c r="I21" s="601">
        <v>41863</v>
      </c>
      <c r="J21" s="601"/>
      <c r="K21" s="601">
        <v>36287</v>
      </c>
      <c r="L21" s="601"/>
      <c r="M21" s="601"/>
      <c r="N21" s="195"/>
      <c r="O21" s="110">
        <v>6136</v>
      </c>
      <c r="P21" s="110"/>
      <c r="Q21" s="110"/>
      <c r="R21" s="110"/>
      <c r="S21" s="110"/>
    </row>
    <row r="22" spans="1:19" s="42" customFormat="1" ht="15" customHeight="1">
      <c r="A22" s="492"/>
      <c r="B22" s="607" t="s">
        <v>948</v>
      </c>
      <c r="C22" s="604"/>
      <c r="D22" s="605"/>
      <c r="E22" s="602">
        <v>72688</v>
      </c>
      <c r="F22" s="602"/>
      <c r="G22" s="602">
        <v>1262</v>
      </c>
      <c r="H22" s="602"/>
      <c r="I22" s="602">
        <v>36025</v>
      </c>
      <c r="J22" s="602"/>
      <c r="K22" s="602">
        <v>31074</v>
      </c>
      <c r="L22" s="602"/>
      <c r="M22" s="602"/>
      <c r="N22" s="9"/>
      <c r="O22" s="10">
        <v>4327</v>
      </c>
      <c r="P22" s="196"/>
      <c r="Q22" s="10"/>
      <c r="R22" s="10"/>
      <c r="S22" s="10"/>
    </row>
    <row r="23" spans="1:19" s="42" customFormat="1" ht="15" customHeight="1">
      <c r="A23" s="492"/>
      <c r="B23" s="607" t="s">
        <v>949</v>
      </c>
      <c r="C23" s="604"/>
      <c r="D23" s="605"/>
      <c r="E23" s="602">
        <v>12860</v>
      </c>
      <c r="F23" s="602"/>
      <c r="G23" s="602"/>
      <c r="H23" s="602"/>
      <c r="I23" s="602">
        <v>5838</v>
      </c>
      <c r="J23" s="602"/>
      <c r="K23" s="602">
        <v>5213</v>
      </c>
      <c r="L23" s="602"/>
      <c r="M23" s="602"/>
      <c r="N23" s="9"/>
      <c r="O23" s="10">
        <v>1809</v>
      </c>
      <c r="P23" s="196"/>
      <c r="Q23" s="10"/>
      <c r="R23" s="10"/>
      <c r="S23" s="10"/>
    </row>
    <row r="24" spans="1:19" s="42" customFormat="1" ht="15" customHeight="1">
      <c r="A24" s="491" t="s">
        <v>617</v>
      </c>
      <c r="B24" s="603" t="s">
        <v>947</v>
      </c>
      <c r="C24" s="604"/>
      <c r="D24" s="605"/>
      <c r="E24" s="601">
        <v>93206</v>
      </c>
      <c r="F24" s="601"/>
      <c r="G24" s="601">
        <v>2990</v>
      </c>
      <c r="H24" s="601"/>
      <c r="I24" s="601">
        <v>43453</v>
      </c>
      <c r="J24" s="601"/>
      <c r="K24" s="601">
        <v>36259</v>
      </c>
      <c r="L24" s="601"/>
      <c r="M24" s="601"/>
      <c r="N24" s="195"/>
      <c r="O24" s="110">
        <v>10504</v>
      </c>
      <c r="P24" s="110"/>
      <c r="Q24" s="110"/>
      <c r="R24" s="110"/>
      <c r="S24" s="110"/>
    </row>
    <row r="25" spans="1:19" s="42" customFormat="1" ht="15" customHeight="1">
      <c r="A25" s="492"/>
      <c r="B25" s="607" t="s">
        <v>948</v>
      </c>
      <c r="C25" s="604"/>
      <c r="D25" s="605"/>
      <c r="E25" s="602">
        <v>80683</v>
      </c>
      <c r="F25" s="602"/>
      <c r="G25" s="602">
        <v>2990</v>
      </c>
      <c r="H25" s="602"/>
      <c r="I25" s="602">
        <v>37811</v>
      </c>
      <c r="J25" s="602"/>
      <c r="K25" s="602">
        <v>29378</v>
      </c>
      <c r="L25" s="602"/>
      <c r="M25" s="602"/>
      <c r="N25" s="9"/>
      <c r="O25" s="10">
        <v>10504</v>
      </c>
      <c r="P25" s="196"/>
      <c r="Q25" s="10"/>
      <c r="R25" s="10"/>
      <c r="S25" s="10"/>
    </row>
    <row r="26" spans="1:19" s="42" customFormat="1" ht="15" customHeight="1">
      <c r="A26" s="492"/>
      <c r="B26" s="607" t="s">
        <v>949</v>
      </c>
      <c r="C26" s="604"/>
      <c r="D26" s="605"/>
      <c r="E26" s="602">
        <v>12523</v>
      </c>
      <c r="F26" s="602"/>
      <c r="G26" s="602"/>
      <c r="H26" s="602"/>
      <c r="I26" s="602">
        <v>5642</v>
      </c>
      <c r="J26" s="602"/>
      <c r="K26" s="602">
        <v>6881</v>
      </c>
      <c r="L26" s="602"/>
      <c r="M26" s="602"/>
      <c r="N26" s="9"/>
      <c r="O26" s="10"/>
      <c r="P26" s="196"/>
      <c r="Q26" s="10"/>
      <c r="R26" s="10"/>
      <c r="S26" s="10"/>
    </row>
    <row r="27" spans="1:19" s="42" customFormat="1" ht="15" customHeight="1">
      <c r="A27" s="491" t="s">
        <v>618</v>
      </c>
      <c r="B27" s="603" t="s">
        <v>947</v>
      </c>
      <c r="C27" s="604"/>
      <c r="D27" s="605"/>
      <c r="E27" s="601">
        <v>145104</v>
      </c>
      <c r="F27" s="601"/>
      <c r="G27" s="601">
        <v>3483</v>
      </c>
      <c r="H27" s="601"/>
      <c r="I27" s="601">
        <v>68738</v>
      </c>
      <c r="J27" s="601"/>
      <c r="K27" s="601">
        <v>57801</v>
      </c>
      <c r="L27" s="601"/>
      <c r="M27" s="601"/>
      <c r="N27" s="195"/>
      <c r="O27" s="110">
        <v>15082</v>
      </c>
      <c r="P27" s="110"/>
      <c r="Q27" s="110"/>
      <c r="R27" s="110"/>
      <c r="S27" s="110"/>
    </row>
    <row r="28" spans="1:19" s="42" customFormat="1" ht="15" customHeight="1">
      <c r="A28" s="492"/>
      <c r="B28" s="607" t="s">
        <v>948</v>
      </c>
      <c r="C28" s="604"/>
      <c r="D28" s="605"/>
      <c r="E28" s="602">
        <v>130635</v>
      </c>
      <c r="F28" s="602"/>
      <c r="G28" s="602">
        <v>3483</v>
      </c>
      <c r="H28" s="602"/>
      <c r="I28" s="602">
        <v>63390</v>
      </c>
      <c r="J28" s="602"/>
      <c r="K28" s="602">
        <v>48680</v>
      </c>
      <c r="L28" s="602"/>
      <c r="M28" s="602"/>
      <c r="N28" s="9"/>
      <c r="O28" s="10">
        <v>15082</v>
      </c>
      <c r="P28" s="196"/>
      <c r="Q28" s="10"/>
      <c r="R28" s="10"/>
      <c r="S28" s="10"/>
    </row>
    <row r="29" spans="1:19" s="42" customFormat="1" ht="15" customHeight="1">
      <c r="A29" s="493"/>
      <c r="B29" s="607" t="s">
        <v>949</v>
      </c>
      <c r="C29" s="604"/>
      <c r="D29" s="605"/>
      <c r="E29" s="602">
        <v>14469</v>
      </c>
      <c r="F29" s="602"/>
      <c r="G29" s="602"/>
      <c r="H29" s="602"/>
      <c r="I29" s="602">
        <v>5348</v>
      </c>
      <c r="J29" s="602"/>
      <c r="K29" s="602">
        <v>9121</v>
      </c>
      <c r="L29" s="602"/>
      <c r="M29" s="602"/>
      <c r="N29" s="9"/>
      <c r="O29" s="10"/>
      <c r="P29" s="196"/>
      <c r="Q29" s="10"/>
      <c r="R29" s="10"/>
      <c r="S29" s="10"/>
    </row>
    <row r="30" spans="1:19" s="42" customFormat="1" ht="15" customHeight="1">
      <c r="A30" s="514" t="s">
        <v>619</v>
      </c>
      <c r="B30" s="603" t="s">
        <v>947</v>
      </c>
      <c r="C30" s="604"/>
      <c r="D30" s="605"/>
      <c r="E30" s="601">
        <v>179109</v>
      </c>
      <c r="F30" s="601"/>
      <c r="G30" s="601">
        <v>1315</v>
      </c>
      <c r="H30" s="601"/>
      <c r="I30" s="601">
        <v>66145</v>
      </c>
      <c r="J30" s="601"/>
      <c r="K30" s="601">
        <v>89603</v>
      </c>
      <c r="L30" s="601"/>
      <c r="M30" s="601"/>
      <c r="N30" s="195"/>
      <c r="O30" s="110">
        <v>22046</v>
      </c>
      <c r="P30" s="110"/>
      <c r="Q30" s="110"/>
      <c r="R30" s="110"/>
      <c r="S30" s="110"/>
    </row>
    <row r="31" spans="1:19" s="42" customFormat="1" ht="15" customHeight="1">
      <c r="A31" s="514"/>
      <c r="B31" s="607" t="s">
        <v>948</v>
      </c>
      <c r="C31" s="604"/>
      <c r="D31" s="605"/>
      <c r="E31" s="602">
        <v>151032</v>
      </c>
      <c r="F31" s="602"/>
      <c r="G31" s="602">
        <v>1315</v>
      </c>
      <c r="H31" s="602"/>
      <c r="I31" s="602">
        <v>58212</v>
      </c>
      <c r="J31" s="602"/>
      <c r="K31" s="602">
        <v>69459</v>
      </c>
      <c r="L31" s="602"/>
      <c r="M31" s="602"/>
      <c r="N31" s="9"/>
      <c r="O31" s="10">
        <v>22046</v>
      </c>
      <c r="P31" s="196"/>
      <c r="Q31" s="10"/>
      <c r="R31" s="10"/>
      <c r="S31" s="10"/>
    </row>
    <row r="32" spans="1:19" s="42" customFormat="1" ht="15" customHeight="1">
      <c r="A32" s="514"/>
      <c r="B32" s="607" t="s">
        <v>949</v>
      </c>
      <c r="C32" s="604"/>
      <c r="D32" s="605"/>
      <c r="E32" s="602">
        <v>28077</v>
      </c>
      <c r="F32" s="602"/>
      <c r="G32" s="602"/>
      <c r="H32" s="602"/>
      <c r="I32" s="602">
        <v>7933</v>
      </c>
      <c r="J32" s="602"/>
      <c r="K32" s="602">
        <v>20144</v>
      </c>
      <c r="L32" s="602"/>
      <c r="M32" s="602"/>
      <c r="N32" s="240"/>
      <c r="O32" s="10"/>
      <c r="P32" s="241"/>
      <c r="Q32" s="10"/>
      <c r="R32" s="10"/>
      <c r="S32" s="10"/>
    </row>
    <row r="33" spans="1:19" s="42" customFormat="1" ht="15" customHeight="1">
      <c r="A33" s="514" t="s">
        <v>121</v>
      </c>
      <c r="B33" s="603" t="s">
        <v>947</v>
      </c>
      <c r="C33" s="604"/>
      <c r="D33" s="605"/>
      <c r="E33" s="601">
        <v>154292</v>
      </c>
      <c r="F33" s="601"/>
      <c r="G33" s="601">
        <v>2842</v>
      </c>
      <c r="H33" s="601"/>
      <c r="I33" s="601">
        <v>20250</v>
      </c>
      <c r="J33" s="601"/>
      <c r="K33" s="601">
        <v>57044</v>
      </c>
      <c r="L33" s="601"/>
      <c r="M33" s="601"/>
      <c r="N33" s="195"/>
      <c r="O33" s="110">
        <v>74156</v>
      </c>
      <c r="P33" s="110"/>
      <c r="Q33" s="110"/>
      <c r="R33" s="110"/>
      <c r="S33" s="110"/>
    </row>
    <row r="34" spans="1:19" s="42" customFormat="1" ht="15" customHeight="1">
      <c r="A34" s="514"/>
      <c r="B34" s="607" t="s">
        <v>948</v>
      </c>
      <c r="C34" s="604"/>
      <c r="D34" s="605"/>
      <c r="E34" s="602">
        <v>139113</v>
      </c>
      <c r="F34" s="602"/>
      <c r="G34" s="602">
        <v>2842</v>
      </c>
      <c r="H34" s="602"/>
      <c r="I34" s="602">
        <v>20250</v>
      </c>
      <c r="J34" s="602"/>
      <c r="K34" s="602">
        <v>41865</v>
      </c>
      <c r="L34" s="602"/>
      <c r="M34" s="602"/>
      <c r="N34" s="9"/>
      <c r="O34" s="10">
        <v>74156</v>
      </c>
      <c r="P34" s="196"/>
      <c r="Q34" s="10"/>
      <c r="R34" s="10"/>
      <c r="S34" s="10"/>
    </row>
    <row r="35" spans="1:19" s="42" customFormat="1" ht="15" customHeight="1">
      <c r="A35" s="514"/>
      <c r="B35" s="607" t="s">
        <v>949</v>
      </c>
      <c r="C35" s="604"/>
      <c r="D35" s="605"/>
      <c r="E35" s="602">
        <v>15179</v>
      </c>
      <c r="F35" s="602"/>
      <c r="G35" s="602"/>
      <c r="H35" s="602"/>
      <c r="I35" s="602"/>
      <c r="J35" s="602"/>
      <c r="K35" s="602">
        <v>15179</v>
      </c>
      <c r="L35" s="602"/>
      <c r="M35" s="602"/>
      <c r="N35" s="240"/>
      <c r="O35" s="10"/>
      <c r="P35" s="241"/>
      <c r="Q35" s="10"/>
      <c r="R35" s="10"/>
      <c r="S35" s="10"/>
    </row>
    <row r="36" spans="1:19" s="42" customFormat="1" ht="15" customHeight="1">
      <c r="A36" s="514" t="s">
        <v>132</v>
      </c>
      <c r="B36" s="603" t="s">
        <v>947</v>
      </c>
      <c r="C36" s="604"/>
      <c r="D36" s="605"/>
      <c r="E36" s="606">
        <v>188539</v>
      </c>
      <c r="F36" s="601"/>
      <c r="G36" s="601">
        <v>2803</v>
      </c>
      <c r="H36" s="601"/>
      <c r="I36" s="601">
        <v>89147</v>
      </c>
      <c r="J36" s="601"/>
      <c r="K36" s="601">
        <v>81778</v>
      </c>
      <c r="L36" s="601"/>
      <c r="M36" s="601"/>
      <c r="N36" s="276"/>
      <c r="O36" s="110">
        <v>14811</v>
      </c>
      <c r="P36" s="110"/>
      <c r="Q36" s="110"/>
      <c r="R36" s="110"/>
      <c r="S36" s="110"/>
    </row>
    <row r="37" spans="1:19" s="42" customFormat="1" ht="15" customHeight="1">
      <c r="A37" s="514"/>
      <c r="B37" s="607" t="s">
        <v>948</v>
      </c>
      <c r="C37" s="604"/>
      <c r="D37" s="605"/>
      <c r="E37" s="602">
        <v>139274</v>
      </c>
      <c r="F37" s="602"/>
      <c r="G37" s="602">
        <v>2803</v>
      </c>
      <c r="H37" s="602"/>
      <c r="I37" s="602">
        <v>64424</v>
      </c>
      <c r="J37" s="602"/>
      <c r="K37" s="602">
        <v>57236</v>
      </c>
      <c r="L37" s="602"/>
      <c r="M37" s="602"/>
      <c r="N37" s="9"/>
      <c r="O37" s="10">
        <v>14811</v>
      </c>
      <c r="P37" s="196"/>
      <c r="Q37" s="10"/>
      <c r="R37" s="10"/>
      <c r="S37" s="10"/>
    </row>
    <row r="38" spans="1:19" s="42" customFormat="1" ht="15" customHeight="1">
      <c r="A38" s="514"/>
      <c r="B38" s="607" t="s">
        <v>949</v>
      </c>
      <c r="C38" s="604"/>
      <c r="D38" s="605"/>
      <c r="E38" s="600">
        <v>49265</v>
      </c>
      <c r="F38" s="600"/>
      <c r="G38" s="600">
        <v>0</v>
      </c>
      <c r="H38" s="600"/>
      <c r="I38" s="600">
        <v>24723</v>
      </c>
      <c r="J38" s="600"/>
      <c r="K38" s="600">
        <v>24542</v>
      </c>
      <c r="L38" s="600"/>
      <c r="M38" s="600"/>
      <c r="N38" s="197"/>
      <c r="O38" s="31"/>
      <c r="P38" s="198"/>
      <c r="Q38" s="31"/>
      <c r="R38" s="31"/>
      <c r="S38" s="31"/>
    </row>
    <row r="39" spans="1:19" s="101" customFormat="1" ht="11.25" customHeight="1">
      <c r="A39" s="624" t="s">
        <v>51</v>
      </c>
      <c r="B39" s="624"/>
      <c r="C39" s="624"/>
      <c r="D39" s="624"/>
      <c r="E39" s="624"/>
      <c r="F39" s="624"/>
      <c r="G39" s="624"/>
      <c r="H39" s="624"/>
      <c r="I39" s="624"/>
      <c r="J39" s="629" t="s">
        <v>809</v>
      </c>
      <c r="K39" s="629"/>
      <c r="L39" s="629"/>
      <c r="M39" s="629"/>
      <c r="N39" s="629"/>
      <c r="O39" s="629"/>
      <c r="P39" s="629"/>
      <c r="Q39" s="629"/>
      <c r="R39" s="629"/>
      <c r="S39" s="629"/>
    </row>
    <row r="40" spans="1:19" s="101" customFormat="1" ht="9.75" customHeight="1">
      <c r="A40" s="630" t="s">
        <v>52</v>
      </c>
      <c r="B40" s="630"/>
      <c r="C40" s="630"/>
      <c r="D40" s="630"/>
      <c r="E40" s="630"/>
      <c r="F40" s="630"/>
      <c r="G40" s="630"/>
      <c r="H40" s="630"/>
      <c r="I40" s="630"/>
      <c r="J40" s="630" t="s">
        <v>810</v>
      </c>
      <c r="K40" s="630"/>
      <c r="L40" s="630"/>
      <c r="M40" s="630"/>
      <c r="N40" s="630"/>
      <c r="O40" s="630"/>
      <c r="P40" s="630"/>
      <c r="Q40" s="630"/>
      <c r="R40" s="630"/>
      <c r="S40" s="630"/>
    </row>
    <row r="41" spans="1:19" s="101" customFormat="1" ht="9.75" customHeight="1">
      <c r="A41" s="630" t="s">
        <v>57</v>
      </c>
      <c r="B41" s="634"/>
      <c r="C41" s="634"/>
      <c r="D41" s="634"/>
      <c r="E41" s="634"/>
      <c r="F41" s="634"/>
      <c r="G41" s="634"/>
      <c r="H41" s="634"/>
      <c r="I41" s="634"/>
      <c r="J41" s="638" t="s">
        <v>811</v>
      </c>
      <c r="K41" s="630"/>
      <c r="L41" s="630"/>
      <c r="M41" s="630"/>
      <c r="N41" s="630"/>
      <c r="O41" s="630"/>
      <c r="P41" s="630"/>
      <c r="Q41" s="630"/>
      <c r="R41" s="630"/>
      <c r="S41" s="630"/>
    </row>
    <row r="42" spans="1:19" s="101" customFormat="1" ht="9.75" customHeight="1">
      <c r="A42" s="630" t="s">
        <v>812</v>
      </c>
      <c r="B42" s="630"/>
      <c r="C42" s="630"/>
      <c r="D42" s="630"/>
      <c r="E42" s="630"/>
      <c r="F42" s="630"/>
      <c r="G42" s="630"/>
      <c r="H42" s="630"/>
      <c r="I42" s="630"/>
      <c r="J42" s="630" t="s">
        <v>168</v>
      </c>
      <c r="K42" s="630"/>
      <c r="L42" s="630"/>
      <c r="M42" s="630"/>
      <c r="N42" s="630"/>
      <c r="O42" s="630"/>
      <c r="P42" s="630"/>
      <c r="Q42" s="630"/>
      <c r="R42" s="630"/>
      <c r="S42" s="630"/>
    </row>
    <row r="43" spans="1:19" s="101" customFormat="1" ht="9.75" customHeight="1">
      <c r="A43" s="634" t="s">
        <v>56</v>
      </c>
      <c r="B43" s="634"/>
      <c r="C43" s="634"/>
      <c r="D43" s="634"/>
      <c r="E43" s="634"/>
      <c r="F43" s="634"/>
      <c r="G43" s="634"/>
      <c r="H43" s="634"/>
      <c r="I43" s="634"/>
      <c r="J43" s="630" t="s">
        <v>813</v>
      </c>
      <c r="K43" s="630"/>
      <c r="L43" s="630"/>
      <c r="M43" s="630"/>
      <c r="N43" s="630"/>
      <c r="O43" s="630"/>
      <c r="P43" s="630"/>
      <c r="Q43" s="630"/>
      <c r="R43" s="630"/>
      <c r="S43" s="630"/>
    </row>
    <row r="44" spans="1:19" s="101" customFormat="1" ht="9.75" customHeight="1">
      <c r="A44" s="635" t="s">
        <v>749</v>
      </c>
      <c r="B44" s="634"/>
      <c r="C44" s="634"/>
      <c r="D44" s="634"/>
      <c r="E44" s="634"/>
      <c r="F44" s="634"/>
      <c r="G44" s="634"/>
      <c r="H44" s="634"/>
      <c r="I44" s="634"/>
      <c r="J44" s="630" t="s">
        <v>814</v>
      </c>
      <c r="K44" s="630"/>
      <c r="L44" s="630"/>
      <c r="M44" s="630"/>
      <c r="N44" s="630"/>
      <c r="O44" s="630"/>
      <c r="P44" s="630"/>
      <c r="Q44" s="630"/>
      <c r="R44" s="630"/>
      <c r="S44" s="630"/>
    </row>
    <row r="45" spans="1:19" s="101" customFormat="1" ht="9.75" customHeight="1">
      <c r="A45" s="634" t="s">
        <v>970</v>
      </c>
      <c r="B45" s="634"/>
      <c r="C45" s="634"/>
      <c r="D45" s="634"/>
      <c r="E45" s="634"/>
      <c r="F45" s="634"/>
      <c r="G45" s="634"/>
      <c r="H45" s="634"/>
      <c r="I45" s="634"/>
      <c r="J45" s="630" t="s">
        <v>72</v>
      </c>
      <c r="K45" s="630"/>
      <c r="L45" s="630"/>
      <c r="M45" s="630"/>
      <c r="N45" s="630"/>
      <c r="O45" s="630"/>
      <c r="P45" s="630"/>
      <c r="Q45" s="630"/>
      <c r="R45" s="630"/>
      <c r="S45" s="630"/>
    </row>
    <row r="46" spans="1:19" s="101" customFormat="1" ht="9.75" customHeight="1">
      <c r="A46" s="634" t="s">
        <v>971</v>
      </c>
      <c r="B46" s="634"/>
      <c r="C46" s="634"/>
      <c r="D46" s="634"/>
      <c r="E46" s="634"/>
      <c r="F46" s="634"/>
      <c r="G46" s="634"/>
      <c r="H46" s="634"/>
      <c r="I46" s="634"/>
      <c r="J46" s="630" t="s">
        <v>73</v>
      </c>
      <c r="K46" s="630"/>
      <c r="L46" s="630"/>
      <c r="M46" s="630"/>
      <c r="N46" s="630"/>
      <c r="O46" s="630"/>
      <c r="P46" s="630"/>
      <c r="Q46" s="630"/>
      <c r="R46" s="630"/>
      <c r="S46" s="630"/>
    </row>
    <row r="47" spans="1:19" s="101" customFormat="1" ht="9.7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630" t="s">
        <v>74</v>
      </c>
      <c r="K47" s="630"/>
      <c r="L47" s="630"/>
      <c r="M47" s="630"/>
      <c r="N47" s="630"/>
      <c r="O47" s="633"/>
      <c r="P47" s="633"/>
      <c r="Q47" s="633"/>
      <c r="R47" s="633"/>
      <c r="S47" s="633"/>
    </row>
    <row r="48" spans="1:19" s="101" customFormat="1" ht="9.75" customHeight="1">
      <c r="A48" s="199"/>
      <c r="B48" s="199"/>
      <c r="C48" s="199"/>
      <c r="D48" s="199"/>
      <c r="E48" s="199"/>
      <c r="F48" s="199"/>
      <c r="G48" s="199"/>
      <c r="H48" s="199"/>
      <c r="I48" s="199"/>
      <c r="J48" s="630" t="s">
        <v>75</v>
      </c>
      <c r="K48" s="630"/>
      <c r="L48" s="630"/>
      <c r="M48" s="630"/>
      <c r="N48" s="630"/>
      <c r="O48" s="630"/>
      <c r="P48" s="630"/>
      <c r="Q48" s="630"/>
      <c r="R48" s="630"/>
      <c r="S48" s="630"/>
    </row>
    <row r="49" spans="1:19" s="101" customFormat="1" ht="9.7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630" t="s">
        <v>76</v>
      </c>
      <c r="K49" s="630"/>
      <c r="L49" s="630"/>
      <c r="M49" s="630"/>
      <c r="N49" s="630"/>
      <c r="O49" s="630"/>
      <c r="P49" s="630"/>
      <c r="Q49" s="630"/>
      <c r="R49" s="630"/>
      <c r="S49" s="630"/>
    </row>
    <row r="50" spans="1:19" s="101" customFormat="1" ht="9.7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630" t="s">
        <v>77</v>
      </c>
      <c r="K50" s="630"/>
      <c r="L50" s="630"/>
      <c r="M50" s="630"/>
      <c r="N50" s="630"/>
      <c r="O50" s="630"/>
      <c r="P50" s="630"/>
      <c r="Q50" s="630"/>
      <c r="R50" s="630"/>
      <c r="S50" s="630"/>
    </row>
    <row r="51" spans="1:19" s="101" customFormat="1" ht="9.7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630" t="s">
        <v>78</v>
      </c>
      <c r="K51" s="630"/>
      <c r="L51" s="630"/>
      <c r="M51" s="630"/>
      <c r="N51" s="630"/>
      <c r="O51" s="630"/>
      <c r="P51" s="630"/>
      <c r="Q51" s="630"/>
      <c r="R51" s="630"/>
      <c r="S51" s="630"/>
    </row>
    <row r="52" spans="1:19" s="101" customFormat="1" ht="9.7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243"/>
      <c r="K52" s="243"/>
      <c r="L52" s="243"/>
      <c r="M52" s="243"/>
      <c r="N52" s="243"/>
      <c r="O52" s="243"/>
      <c r="P52" s="243"/>
      <c r="Q52" s="243"/>
      <c r="R52" s="243"/>
      <c r="S52" s="243"/>
    </row>
    <row r="54" spans="1:19" ht="15.75">
      <c r="A54" s="573" t="str">
        <f>"- "&amp;'[1]Sheet1'!B38&amp;" -"</f>
        <v>- 248 -</v>
      </c>
      <c r="B54" s="573"/>
      <c r="C54" s="573"/>
      <c r="D54" s="573"/>
      <c r="E54" s="573"/>
      <c r="F54" s="573"/>
      <c r="G54" s="573"/>
      <c r="H54" s="573"/>
      <c r="I54" s="573"/>
      <c r="J54" s="573" t="str">
        <f>"- "&amp;'[1]Sheet1'!C38&amp;" -"</f>
        <v>- 249 -</v>
      </c>
      <c r="K54" s="573"/>
      <c r="L54" s="573"/>
      <c r="M54" s="573"/>
      <c r="N54" s="573"/>
      <c r="O54" s="573"/>
      <c r="P54" s="573"/>
      <c r="Q54" s="573"/>
      <c r="R54" s="573"/>
      <c r="S54" s="573"/>
    </row>
  </sheetData>
  <sheetProtection/>
  <mergeCells count="206">
    <mergeCell ref="N8:O8"/>
    <mergeCell ref="P8:Q8"/>
    <mergeCell ref="R8:S8"/>
    <mergeCell ref="A46:I46"/>
    <mergeCell ref="J46:S46"/>
    <mergeCell ref="A41:I41"/>
    <mergeCell ref="J41:S41"/>
    <mergeCell ref="A42:I42"/>
    <mergeCell ref="J42:S42"/>
    <mergeCell ref="A43:I43"/>
    <mergeCell ref="J43:S43"/>
    <mergeCell ref="A45:I45"/>
    <mergeCell ref="A44:I44"/>
    <mergeCell ref="J44:S44"/>
    <mergeCell ref="J45:S45"/>
    <mergeCell ref="J51:S51"/>
    <mergeCell ref="J47:S47"/>
    <mergeCell ref="J48:S48"/>
    <mergeCell ref="J49:S49"/>
    <mergeCell ref="J50:S50"/>
    <mergeCell ref="J39:S39"/>
    <mergeCell ref="A40:I40"/>
    <mergeCell ref="J40:S40"/>
    <mergeCell ref="F3:I3"/>
    <mergeCell ref="B31:D31"/>
    <mergeCell ref="E31:F31"/>
    <mergeCell ref="G31:H31"/>
    <mergeCell ref="I31:J31"/>
    <mergeCell ref="G32:H32"/>
    <mergeCell ref="I15:J15"/>
    <mergeCell ref="J1:S1"/>
    <mergeCell ref="A3:C4"/>
    <mergeCell ref="J2:R2"/>
    <mergeCell ref="D3:D4"/>
    <mergeCell ref="E3:E4"/>
    <mergeCell ref="P3:S3"/>
    <mergeCell ref="J3:O3"/>
    <mergeCell ref="E30:F30"/>
    <mergeCell ref="A39:I39"/>
    <mergeCell ref="A1:H1"/>
    <mergeCell ref="A2:H2"/>
    <mergeCell ref="A6:H6"/>
    <mergeCell ref="A5:B5"/>
    <mergeCell ref="G20:H20"/>
    <mergeCell ref="G19:H19"/>
    <mergeCell ref="G22:H22"/>
    <mergeCell ref="I32:J32"/>
    <mergeCell ref="K22:M22"/>
    <mergeCell ref="K23:M23"/>
    <mergeCell ref="A54:I54"/>
    <mergeCell ref="J54:S54"/>
    <mergeCell ref="A30:A32"/>
    <mergeCell ref="B32:D32"/>
    <mergeCell ref="E32:F32"/>
    <mergeCell ref="K35:M35"/>
    <mergeCell ref="K34:M34"/>
    <mergeCell ref="B30:D30"/>
    <mergeCell ref="K16:M16"/>
    <mergeCell ref="I18:J18"/>
    <mergeCell ref="K20:M20"/>
    <mergeCell ref="I19:J19"/>
    <mergeCell ref="I20:J20"/>
    <mergeCell ref="K18:M18"/>
    <mergeCell ref="I16:J16"/>
    <mergeCell ref="I17:J17"/>
    <mergeCell ref="K19:M19"/>
    <mergeCell ref="G30:H30"/>
    <mergeCell ref="G24:H24"/>
    <mergeCell ref="G29:H29"/>
    <mergeCell ref="G28:H28"/>
    <mergeCell ref="G27:H27"/>
    <mergeCell ref="G25:H25"/>
    <mergeCell ref="E14:F14"/>
    <mergeCell ref="G15:H15"/>
    <mergeCell ref="G16:H16"/>
    <mergeCell ref="G14:H14"/>
    <mergeCell ref="E17:F17"/>
    <mergeCell ref="E16:F16"/>
    <mergeCell ref="E15:F15"/>
    <mergeCell ref="G17:H17"/>
    <mergeCell ref="A9:A11"/>
    <mergeCell ref="I12:J12"/>
    <mergeCell ref="G11:H11"/>
    <mergeCell ref="G12:H12"/>
    <mergeCell ref="E12:F12"/>
    <mergeCell ref="B9:D9"/>
    <mergeCell ref="B10:D10"/>
    <mergeCell ref="B12:D12"/>
    <mergeCell ref="G7:H8"/>
    <mergeCell ref="A12:A14"/>
    <mergeCell ref="E9:F9"/>
    <mergeCell ref="E10:F10"/>
    <mergeCell ref="E11:F11"/>
    <mergeCell ref="B13:D13"/>
    <mergeCell ref="B11:D11"/>
    <mergeCell ref="G13:H13"/>
    <mergeCell ref="G9:H9"/>
    <mergeCell ref="G10:H10"/>
    <mergeCell ref="K9:M9"/>
    <mergeCell ref="K10:M10"/>
    <mergeCell ref="K11:M11"/>
    <mergeCell ref="I9:J9"/>
    <mergeCell ref="I11:J11"/>
    <mergeCell ref="I10:J10"/>
    <mergeCell ref="K12:M12"/>
    <mergeCell ref="B20:D20"/>
    <mergeCell ref="E22:F22"/>
    <mergeCell ref="B14:D14"/>
    <mergeCell ref="E18:F18"/>
    <mergeCell ref="G21:H21"/>
    <mergeCell ref="E21:F21"/>
    <mergeCell ref="E19:F19"/>
    <mergeCell ref="E20:F20"/>
    <mergeCell ref="B22:D22"/>
    <mergeCell ref="K24:M24"/>
    <mergeCell ref="E13:F13"/>
    <mergeCell ref="A24:A26"/>
    <mergeCell ref="B24:D24"/>
    <mergeCell ref="E24:F24"/>
    <mergeCell ref="B26:D26"/>
    <mergeCell ref="E26:F26"/>
    <mergeCell ref="B25:D25"/>
    <mergeCell ref="E25:F25"/>
    <mergeCell ref="A15:A17"/>
    <mergeCell ref="E29:F29"/>
    <mergeCell ref="B27:D27"/>
    <mergeCell ref="E27:F27"/>
    <mergeCell ref="B28:D28"/>
    <mergeCell ref="G18:H18"/>
    <mergeCell ref="I27:J27"/>
    <mergeCell ref="I22:J22"/>
    <mergeCell ref="G23:H23"/>
    <mergeCell ref="K26:M26"/>
    <mergeCell ref="K7:M8"/>
    <mergeCell ref="I7:I8"/>
    <mergeCell ref="J7:J8"/>
    <mergeCell ref="K21:M21"/>
    <mergeCell ref="I21:J21"/>
    <mergeCell ref="K17:M17"/>
    <mergeCell ref="K13:M13"/>
    <mergeCell ref="K14:M14"/>
    <mergeCell ref="K15:M15"/>
    <mergeCell ref="B16:D16"/>
    <mergeCell ref="I13:J13"/>
    <mergeCell ref="I14:J14"/>
    <mergeCell ref="G34:H34"/>
    <mergeCell ref="E33:F33"/>
    <mergeCell ref="I25:J25"/>
    <mergeCell ref="I26:J26"/>
    <mergeCell ref="E28:F28"/>
    <mergeCell ref="E23:F23"/>
    <mergeCell ref="G26:H26"/>
    <mergeCell ref="B17:D17"/>
    <mergeCell ref="B19:D19"/>
    <mergeCell ref="B34:D34"/>
    <mergeCell ref="A21:A23"/>
    <mergeCell ref="B23:D23"/>
    <mergeCell ref="B18:D18"/>
    <mergeCell ref="B29:D29"/>
    <mergeCell ref="A18:A20"/>
    <mergeCell ref="E34:F34"/>
    <mergeCell ref="A7:D8"/>
    <mergeCell ref="E7:F8"/>
    <mergeCell ref="A33:A35"/>
    <mergeCell ref="B33:D33"/>
    <mergeCell ref="B35:D35"/>
    <mergeCell ref="E35:F35"/>
    <mergeCell ref="B21:D21"/>
    <mergeCell ref="A27:A29"/>
    <mergeCell ref="B15:D15"/>
    <mergeCell ref="G35:H35"/>
    <mergeCell ref="N7:S7"/>
    <mergeCell ref="I35:J35"/>
    <mergeCell ref="I34:J34"/>
    <mergeCell ref="K32:M32"/>
    <mergeCell ref="I33:J33"/>
    <mergeCell ref="K33:M33"/>
    <mergeCell ref="I30:J30"/>
    <mergeCell ref="K27:M27"/>
    <mergeCell ref="K25:M25"/>
    <mergeCell ref="N6:P6"/>
    <mergeCell ref="G33:H33"/>
    <mergeCell ref="I29:J29"/>
    <mergeCell ref="K28:M28"/>
    <mergeCell ref="I23:J23"/>
    <mergeCell ref="I24:J24"/>
    <mergeCell ref="I28:J28"/>
    <mergeCell ref="K29:M29"/>
    <mergeCell ref="K31:M31"/>
    <mergeCell ref="K30:M30"/>
    <mergeCell ref="A36:A38"/>
    <mergeCell ref="B36:D36"/>
    <mergeCell ref="E36:F36"/>
    <mergeCell ref="G36:H36"/>
    <mergeCell ref="B38:D38"/>
    <mergeCell ref="E38:F38"/>
    <mergeCell ref="G38:H38"/>
    <mergeCell ref="B37:D37"/>
    <mergeCell ref="E37:F37"/>
    <mergeCell ref="G37:H37"/>
    <mergeCell ref="I38:J38"/>
    <mergeCell ref="K38:M38"/>
    <mergeCell ref="I36:J36"/>
    <mergeCell ref="K36:M36"/>
    <mergeCell ref="I37:J37"/>
    <mergeCell ref="K37:M37"/>
  </mergeCells>
  <printOptions/>
  <pageMargins left="0.6299212598425197" right="0.3937007874015748" top="0.5511811023622047" bottom="0" header="0.5118110236220472" footer="0.7086614173228347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4"/>
  <sheetViews>
    <sheetView view="pageLayout" zoomScaleNormal="85" zoomScaleSheetLayoutView="85" workbookViewId="0" topLeftCell="D22">
      <selection activeCell="E34" sqref="E34:K34"/>
    </sheetView>
  </sheetViews>
  <sheetFormatPr defaultColWidth="9.00390625" defaultRowHeight="16.5"/>
  <cols>
    <col min="1" max="1" width="42.50390625" style="79" customWidth="1"/>
    <col min="2" max="7" width="12.625" style="105" customWidth="1"/>
    <col min="8" max="10" width="12.625" style="104" customWidth="1"/>
    <col min="11" max="11" width="12.625" style="45" customWidth="1"/>
    <col min="12" max="16384" width="9.00390625" style="79" customWidth="1"/>
  </cols>
  <sheetData>
    <row r="1" spans="1:11" s="80" customFormat="1" ht="21.75" customHeight="1">
      <c r="A1" s="539" t="s">
        <v>26</v>
      </c>
      <c r="B1" s="539"/>
      <c r="C1" s="539"/>
      <c r="D1" s="539"/>
      <c r="E1" s="15"/>
      <c r="F1" s="459" t="s">
        <v>233</v>
      </c>
      <c r="G1" s="459"/>
      <c r="H1" s="459"/>
      <c r="I1" s="459"/>
      <c r="J1" s="459"/>
      <c r="K1" s="294"/>
    </row>
    <row r="2" spans="1:11" s="75" customFormat="1" ht="15" customHeight="1">
      <c r="A2" s="460" t="s">
        <v>177</v>
      </c>
      <c r="B2" s="460"/>
      <c r="C2" s="460"/>
      <c r="D2" s="21" t="s">
        <v>953</v>
      </c>
      <c r="F2" s="295"/>
      <c r="G2" s="462" t="s">
        <v>832</v>
      </c>
      <c r="H2" s="462"/>
      <c r="I2" s="462"/>
      <c r="J2" s="295"/>
      <c r="K2" s="67" t="s">
        <v>954</v>
      </c>
    </row>
    <row r="3" spans="1:11" ht="4.5" customHeight="1">
      <c r="A3" s="7"/>
      <c r="B3" s="8"/>
      <c r="C3" s="8"/>
      <c r="D3" s="8"/>
      <c r="E3" s="8"/>
      <c r="F3" s="8"/>
      <c r="G3" s="641"/>
      <c r="H3" s="641"/>
      <c r="I3" s="641"/>
      <c r="J3" s="27"/>
      <c r="K3" s="170"/>
    </row>
    <row r="4" spans="1:11" s="40" customFormat="1" ht="23.25" customHeight="1">
      <c r="A4" s="202"/>
      <c r="B4" s="203" t="s">
        <v>620</v>
      </c>
      <c r="C4" s="204" t="s">
        <v>621</v>
      </c>
      <c r="D4" s="203" t="s">
        <v>622</v>
      </c>
      <c r="E4" s="204" t="s">
        <v>623</v>
      </c>
      <c r="F4" s="205" t="s">
        <v>624</v>
      </c>
      <c r="G4" s="205" t="s">
        <v>625</v>
      </c>
      <c r="H4" s="205" t="s">
        <v>626</v>
      </c>
      <c r="I4" s="205" t="s">
        <v>627</v>
      </c>
      <c r="J4" s="203" t="s">
        <v>628</v>
      </c>
      <c r="K4" s="203" t="s">
        <v>629</v>
      </c>
    </row>
    <row r="5" spans="1:11" s="22" customFormat="1" ht="4.5" customHeight="1">
      <c r="A5" s="229"/>
      <c r="B5" s="230"/>
      <c r="C5" s="230"/>
      <c r="D5" s="230"/>
      <c r="E5" s="230"/>
      <c r="F5" s="230"/>
      <c r="G5" s="228"/>
      <c r="H5" s="228"/>
      <c r="I5" s="228"/>
      <c r="J5" s="228"/>
      <c r="K5" s="228"/>
    </row>
    <row r="6" spans="1:11" s="40" customFormat="1" ht="27">
      <c r="A6" s="147" t="s">
        <v>955</v>
      </c>
      <c r="B6" s="206"/>
      <c r="C6" s="207"/>
      <c r="D6" s="207"/>
      <c r="E6" s="208"/>
      <c r="F6" s="208"/>
      <c r="G6" s="208"/>
      <c r="H6" s="207"/>
      <c r="I6" s="207"/>
      <c r="J6" s="207"/>
      <c r="K6" s="207"/>
    </row>
    <row r="7" spans="1:11" s="40" customFormat="1" ht="27">
      <c r="A7" s="200" t="s">
        <v>956</v>
      </c>
      <c r="B7" s="209">
        <v>131</v>
      </c>
      <c r="C7" s="209">
        <v>131</v>
      </c>
      <c r="D7" s="209">
        <v>131</v>
      </c>
      <c r="E7" s="209">
        <v>131</v>
      </c>
      <c r="F7" s="209">
        <v>131</v>
      </c>
      <c r="G7" s="209">
        <v>131</v>
      </c>
      <c r="H7" s="209">
        <v>131</v>
      </c>
      <c r="I7" s="209">
        <v>131</v>
      </c>
      <c r="J7" s="209">
        <v>186</v>
      </c>
      <c r="K7" s="209">
        <v>186</v>
      </c>
    </row>
    <row r="8" spans="1:11" s="40" customFormat="1" ht="27">
      <c r="A8" s="200" t="s">
        <v>388</v>
      </c>
      <c r="B8" s="209">
        <v>119</v>
      </c>
      <c r="C8" s="209">
        <v>115</v>
      </c>
      <c r="D8" s="209">
        <v>122</v>
      </c>
      <c r="E8" s="209">
        <v>123</v>
      </c>
      <c r="F8" s="209">
        <v>123</v>
      </c>
      <c r="G8" s="209">
        <v>123</v>
      </c>
      <c r="H8" s="209">
        <v>123</v>
      </c>
      <c r="I8" s="209">
        <v>126</v>
      </c>
      <c r="J8" s="209">
        <v>161</v>
      </c>
      <c r="K8" s="209">
        <v>161</v>
      </c>
    </row>
    <row r="9" spans="1:11" s="40" customFormat="1" ht="39.75">
      <c r="A9" s="200" t="s">
        <v>957</v>
      </c>
      <c r="B9" s="210">
        <f>B8/B7*100</f>
        <v>90.83969465648855</v>
      </c>
      <c r="C9" s="210">
        <f aca="true" t="shared" si="0" ref="C9:J9">C8/C7*100</f>
        <v>87.78625954198473</v>
      </c>
      <c r="D9" s="210">
        <f t="shared" si="0"/>
        <v>93.12977099236642</v>
      </c>
      <c r="E9" s="210">
        <f t="shared" si="0"/>
        <v>93.89312977099237</v>
      </c>
      <c r="F9" s="210">
        <f t="shared" si="0"/>
        <v>93.89312977099237</v>
      </c>
      <c r="G9" s="210">
        <f t="shared" si="0"/>
        <v>93.89312977099237</v>
      </c>
      <c r="H9" s="210">
        <f t="shared" si="0"/>
        <v>93.89312977099237</v>
      </c>
      <c r="I9" s="210">
        <f t="shared" si="0"/>
        <v>96.18320610687023</v>
      </c>
      <c r="J9" s="210">
        <f t="shared" si="0"/>
        <v>86.55913978494624</v>
      </c>
      <c r="K9" s="210">
        <v>86.6</v>
      </c>
    </row>
    <row r="10" spans="1:11" s="40" customFormat="1" ht="28.5">
      <c r="A10" s="222" t="s">
        <v>387</v>
      </c>
      <c r="B10" s="291">
        <v>111</v>
      </c>
      <c r="C10" s="291">
        <v>109</v>
      </c>
      <c r="D10" s="291">
        <v>114</v>
      </c>
      <c r="E10" s="291">
        <v>114</v>
      </c>
      <c r="F10" s="291">
        <v>113</v>
      </c>
      <c r="G10" s="291">
        <v>119</v>
      </c>
      <c r="H10" s="291">
        <v>115</v>
      </c>
      <c r="I10" s="291">
        <v>120</v>
      </c>
      <c r="J10" s="291">
        <v>150</v>
      </c>
      <c r="K10" s="291">
        <v>150</v>
      </c>
    </row>
    <row r="11" spans="1:11" s="40" customFormat="1" ht="27">
      <c r="A11" s="200" t="s">
        <v>964</v>
      </c>
      <c r="B11" s="210">
        <f>B10/B8*100</f>
        <v>93.27731092436974</v>
      </c>
      <c r="C11" s="210">
        <f aca="true" t="shared" si="1" ref="C11:J11">C10/C8*100</f>
        <v>94.78260869565217</v>
      </c>
      <c r="D11" s="210">
        <f t="shared" si="1"/>
        <v>93.44262295081968</v>
      </c>
      <c r="E11" s="210">
        <f t="shared" si="1"/>
        <v>92.6829268292683</v>
      </c>
      <c r="F11" s="210">
        <f t="shared" si="1"/>
        <v>91.869918699187</v>
      </c>
      <c r="G11" s="210">
        <f t="shared" si="1"/>
        <v>96.7479674796748</v>
      </c>
      <c r="H11" s="210">
        <f t="shared" si="1"/>
        <v>93.4959349593496</v>
      </c>
      <c r="I11" s="210">
        <f t="shared" si="1"/>
        <v>95.23809523809523</v>
      </c>
      <c r="J11" s="210">
        <f t="shared" si="1"/>
        <v>93.16770186335404</v>
      </c>
      <c r="K11" s="210">
        <v>93.2</v>
      </c>
    </row>
    <row r="12" spans="1:11" s="40" customFormat="1" ht="7.5" customHeight="1">
      <c r="A12" s="201"/>
      <c r="B12" s="209"/>
      <c r="C12" s="209"/>
      <c r="D12" s="209"/>
      <c r="E12" s="209"/>
      <c r="F12" s="209"/>
      <c r="G12" s="211"/>
      <c r="H12" s="209"/>
      <c r="I12" s="209"/>
      <c r="J12" s="209"/>
      <c r="K12" s="209"/>
    </row>
    <row r="13" spans="1:11" s="40" customFormat="1" ht="27">
      <c r="A13" s="147" t="s">
        <v>965</v>
      </c>
      <c r="B13" s="209"/>
      <c r="C13" s="209"/>
      <c r="D13" s="209"/>
      <c r="E13" s="209"/>
      <c r="F13" s="209"/>
      <c r="G13" s="211"/>
      <c r="H13" s="209"/>
      <c r="I13" s="209"/>
      <c r="J13" s="209"/>
      <c r="K13" s="209"/>
    </row>
    <row r="14" spans="1:11" s="40" customFormat="1" ht="27">
      <c r="A14" s="200" t="s">
        <v>956</v>
      </c>
      <c r="B14" s="209">
        <v>73</v>
      </c>
      <c r="C14" s="209">
        <v>73</v>
      </c>
      <c r="D14" s="209">
        <v>73</v>
      </c>
      <c r="E14" s="209">
        <v>73</v>
      </c>
      <c r="F14" s="209">
        <v>73</v>
      </c>
      <c r="G14" s="209">
        <v>73</v>
      </c>
      <c r="H14" s="209">
        <v>73</v>
      </c>
      <c r="I14" s="209">
        <v>73</v>
      </c>
      <c r="J14" s="209">
        <v>93</v>
      </c>
      <c r="K14" s="209">
        <v>93</v>
      </c>
    </row>
    <row r="15" spans="1:11" s="40" customFormat="1" ht="27">
      <c r="A15" s="200" t="s">
        <v>388</v>
      </c>
      <c r="B15" s="209">
        <v>69</v>
      </c>
      <c r="C15" s="209">
        <v>70</v>
      </c>
      <c r="D15" s="209">
        <v>64</v>
      </c>
      <c r="E15" s="209">
        <v>65</v>
      </c>
      <c r="F15" s="209">
        <v>65</v>
      </c>
      <c r="G15" s="209">
        <v>65</v>
      </c>
      <c r="H15" s="209">
        <v>65</v>
      </c>
      <c r="I15" s="209">
        <v>68</v>
      </c>
      <c r="J15" s="209">
        <v>83</v>
      </c>
      <c r="K15" s="209">
        <v>83</v>
      </c>
    </row>
    <row r="16" spans="1:11" s="40" customFormat="1" ht="39.75">
      <c r="A16" s="200" t="s">
        <v>966</v>
      </c>
      <c r="B16" s="210">
        <f>B15/B14*100</f>
        <v>94.52054794520548</v>
      </c>
      <c r="C16" s="210">
        <f aca="true" t="shared" si="2" ref="C16:J16">C15/C14*100</f>
        <v>95.8904109589041</v>
      </c>
      <c r="D16" s="210">
        <f t="shared" si="2"/>
        <v>87.67123287671232</v>
      </c>
      <c r="E16" s="210">
        <f t="shared" si="2"/>
        <v>89.04109589041096</v>
      </c>
      <c r="F16" s="210">
        <f t="shared" si="2"/>
        <v>89.04109589041096</v>
      </c>
      <c r="G16" s="210">
        <f t="shared" si="2"/>
        <v>89.04109589041096</v>
      </c>
      <c r="H16" s="210">
        <f t="shared" si="2"/>
        <v>89.04109589041096</v>
      </c>
      <c r="I16" s="210">
        <f t="shared" si="2"/>
        <v>93.15068493150685</v>
      </c>
      <c r="J16" s="210">
        <f t="shared" si="2"/>
        <v>89.24731182795699</v>
      </c>
      <c r="K16" s="210">
        <v>89.2</v>
      </c>
    </row>
    <row r="17" spans="1:11" s="40" customFormat="1" ht="28.5">
      <c r="A17" s="222" t="s">
        <v>387</v>
      </c>
      <c r="B17" s="209">
        <v>68</v>
      </c>
      <c r="C17" s="209">
        <v>66</v>
      </c>
      <c r="D17" s="209">
        <v>61</v>
      </c>
      <c r="E17" s="209">
        <v>61</v>
      </c>
      <c r="F17" s="209">
        <v>59</v>
      </c>
      <c r="G17" s="209">
        <v>63</v>
      </c>
      <c r="H17" s="209">
        <v>59</v>
      </c>
      <c r="I17" s="209">
        <v>64</v>
      </c>
      <c r="J17" s="209">
        <v>77</v>
      </c>
      <c r="K17" s="209">
        <v>74</v>
      </c>
    </row>
    <row r="18" spans="1:11" s="40" customFormat="1" ht="27">
      <c r="A18" s="200" t="s">
        <v>964</v>
      </c>
      <c r="B18" s="210">
        <f>B17/B15*100</f>
        <v>98.55072463768117</v>
      </c>
      <c r="C18" s="210">
        <f aca="true" t="shared" si="3" ref="C18:J18">C17/C15*100</f>
        <v>94.28571428571428</v>
      </c>
      <c r="D18" s="210">
        <f t="shared" si="3"/>
        <v>95.3125</v>
      </c>
      <c r="E18" s="210">
        <f t="shared" si="3"/>
        <v>93.84615384615384</v>
      </c>
      <c r="F18" s="210">
        <f t="shared" si="3"/>
        <v>90.76923076923077</v>
      </c>
      <c r="G18" s="210">
        <f t="shared" si="3"/>
        <v>96.92307692307692</v>
      </c>
      <c r="H18" s="210">
        <f t="shared" si="3"/>
        <v>90.76923076923077</v>
      </c>
      <c r="I18" s="210">
        <f t="shared" si="3"/>
        <v>94.11764705882352</v>
      </c>
      <c r="J18" s="210">
        <f t="shared" si="3"/>
        <v>92.7710843373494</v>
      </c>
      <c r="K18" s="210">
        <v>89.2</v>
      </c>
    </row>
    <row r="19" spans="1:11" s="40" customFormat="1" ht="7.5" customHeight="1">
      <c r="A19" s="201"/>
      <c r="B19" s="209"/>
      <c r="C19" s="209"/>
      <c r="D19" s="209"/>
      <c r="E19" s="209"/>
      <c r="F19" s="209"/>
      <c r="G19" s="211"/>
      <c r="H19" s="209"/>
      <c r="I19" s="209"/>
      <c r="J19" s="209"/>
      <c r="K19" s="209"/>
    </row>
    <row r="20" spans="1:11" s="40" customFormat="1" ht="27">
      <c r="A20" s="147" t="s">
        <v>744</v>
      </c>
      <c r="B20" s="209"/>
      <c r="C20" s="209"/>
      <c r="D20" s="209"/>
      <c r="E20" s="209"/>
      <c r="F20" s="209"/>
      <c r="G20" s="211"/>
      <c r="H20" s="209"/>
      <c r="I20" s="209"/>
      <c r="J20" s="209"/>
      <c r="K20" s="122"/>
    </row>
    <row r="21" spans="1:11" s="40" customFormat="1" ht="27">
      <c r="A21" s="200" t="s">
        <v>967</v>
      </c>
      <c r="B21" s="209">
        <v>58</v>
      </c>
      <c r="C21" s="209">
        <v>58</v>
      </c>
      <c r="D21" s="209">
        <v>58</v>
      </c>
      <c r="E21" s="209">
        <v>58</v>
      </c>
      <c r="F21" s="209">
        <v>58</v>
      </c>
      <c r="G21" s="209">
        <v>58</v>
      </c>
      <c r="H21" s="209">
        <v>58</v>
      </c>
      <c r="I21" s="209">
        <v>58</v>
      </c>
      <c r="J21" s="209">
        <v>70</v>
      </c>
      <c r="K21" s="209">
        <v>70</v>
      </c>
    </row>
    <row r="22" spans="1:11" s="40" customFormat="1" ht="28.5">
      <c r="A22" s="222" t="s">
        <v>389</v>
      </c>
      <c r="B22" s="209">
        <v>50</v>
      </c>
      <c r="C22" s="209">
        <v>45</v>
      </c>
      <c r="D22" s="209">
        <v>58</v>
      </c>
      <c r="E22" s="209">
        <v>58</v>
      </c>
      <c r="F22" s="209">
        <v>58</v>
      </c>
      <c r="G22" s="209">
        <v>58</v>
      </c>
      <c r="H22" s="209">
        <v>58</v>
      </c>
      <c r="I22" s="209">
        <v>58</v>
      </c>
      <c r="J22" s="209">
        <v>63</v>
      </c>
      <c r="K22" s="209">
        <v>63</v>
      </c>
    </row>
    <row r="23" spans="1:11" s="40" customFormat="1" ht="39.75">
      <c r="A23" s="200" t="s">
        <v>968</v>
      </c>
      <c r="B23" s="210">
        <f>B22/B21*100</f>
        <v>86.20689655172413</v>
      </c>
      <c r="C23" s="210">
        <f aca="true" t="shared" si="4" ref="C23:J23">C22/C21*100</f>
        <v>77.58620689655173</v>
      </c>
      <c r="D23" s="210">
        <f t="shared" si="4"/>
        <v>100</v>
      </c>
      <c r="E23" s="210">
        <f t="shared" si="4"/>
        <v>100</v>
      </c>
      <c r="F23" s="210">
        <f t="shared" si="4"/>
        <v>100</v>
      </c>
      <c r="G23" s="210">
        <f t="shared" si="4"/>
        <v>100</v>
      </c>
      <c r="H23" s="210">
        <f t="shared" si="4"/>
        <v>100</v>
      </c>
      <c r="I23" s="210">
        <f t="shared" si="4"/>
        <v>100</v>
      </c>
      <c r="J23" s="210">
        <f t="shared" si="4"/>
        <v>90</v>
      </c>
      <c r="K23" s="210">
        <v>90</v>
      </c>
    </row>
    <row r="24" spans="1:11" s="40" customFormat="1" ht="28.5">
      <c r="A24" s="222" t="s">
        <v>387</v>
      </c>
      <c r="B24" s="209">
        <v>43</v>
      </c>
      <c r="C24" s="209">
        <v>43</v>
      </c>
      <c r="D24" s="209">
        <v>53</v>
      </c>
      <c r="E24" s="209">
        <v>53</v>
      </c>
      <c r="F24" s="209">
        <v>54</v>
      </c>
      <c r="G24" s="209">
        <v>56</v>
      </c>
      <c r="H24" s="209">
        <v>56</v>
      </c>
      <c r="I24" s="209">
        <v>56</v>
      </c>
      <c r="J24" s="209">
        <v>58</v>
      </c>
      <c r="K24" s="209">
        <v>61</v>
      </c>
    </row>
    <row r="25" spans="1:11" s="40" customFormat="1" ht="27">
      <c r="A25" s="200" t="s">
        <v>964</v>
      </c>
      <c r="B25" s="210">
        <f>B24/B22*100</f>
        <v>86</v>
      </c>
      <c r="C25" s="210">
        <f aca="true" t="shared" si="5" ref="C25:J25">C24/C22*100</f>
        <v>95.55555555555556</v>
      </c>
      <c r="D25" s="210">
        <f t="shared" si="5"/>
        <v>91.37931034482759</v>
      </c>
      <c r="E25" s="210">
        <f t="shared" si="5"/>
        <v>91.37931034482759</v>
      </c>
      <c r="F25" s="210">
        <f t="shared" si="5"/>
        <v>93.10344827586206</v>
      </c>
      <c r="G25" s="210">
        <f t="shared" si="5"/>
        <v>96.55172413793103</v>
      </c>
      <c r="H25" s="210">
        <f t="shared" si="5"/>
        <v>96.55172413793103</v>
      </c>
      <c r="I25" s="210">
        <f t="shared" si="5"/>
        <v>96.55172413793103</v>
      </c>
      <c r="J25" s="210">
        <f t="shared" si="5"/>
        <v>92.06349206349206</v>
      </c>
      <c r="K25" s="210">
        <f>K24/K22*100</f>
        <v>96.82539682539682</v>
      </c>
    </row>
    <row r="26" spans="1:11" s="40" customFormat="1" ht="7.5" customHeight="1">
      <c r="A26" s="201"/>
      <c r="B26" s="209"/>
      <c r="C26" s="209"/>
      <c r="D26" s="209"/>
      <c r="E26" s="209"/>
      <c r="F26" s="209"/>
      <c r="G26" s="211"/>
      <c r="H26" s="209"/>
      <c r="I26" s="209"/>
      <c r="J26" s="209"/>
      <c r="K26" s="209"/>
    </row>
    <row r="27" spans="1:11" s="40" customFormat="1" ht="27.75" customHeight="1">
      <c r="A27" s="292" t="s">
        <v>172</v>
      </c>
      <c r="B27" s="209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 ht="27">
      <c r="A28" s="201" t="s">
        <v>967</v>
      </c>
      <c r="B28" s="209"/>
      <c r="C28" s="209"/>
      <c r="D28" s="209"/>
      <c r="E28" s="209"/>
      <c r="F28" s="209"/>
      <c r="G28" s="209"/>
      <c r="H28" s="209"/>
      <c r="I28" s="209"/>
      <c r="J28" s="210">
        <v>23</v>
      </c>
      <c r="K28" s="291">
        <v>23</v>
      </c>
    </row>
    <row r="29" spans="1:11" ht="27">
      <c r="A29" s="293" t="s">
        <v>173</v>
      </c>
      <c r="B29" s="209"/>
      <c r="C29" s="209"/>
      <c r="D29" s="209"/>
      <c r="E29" s="209"/>
      <c r="F29" s="209"/>
      <c r="G29" s="209"/>
      <c r="H29" s="209"/>
      <c r="I29" s="209"/>
      <c r="J29" s="210">
        <v>15</v>
      </c>
      <c r="K29" s="291">
        <v>15</v>
      </c>
    </row>
    <row r="30" spans="1:11" ht="27">
      <c r="A30" s="201" t="s">
        <v>174</v>
      </c>
      <c r="B30" s="209"/>
      <c r="C30" s="209"/>
      <c r="D30" s="209"/>
      <c r="E30" s="209"/>
      <c r="F30" s="209"/>
      <c r="G30" s="209"/>
      <c r="H30" s="209"/>
      <c r="I30" s="209"/>
      <c r="J30" s="210">
        <v>65.2</v>
      </c>
      <c r="K30" s="210">
        <v>65.2</v>
      </c>
    </row>
    <row r="31" spans="1:11" ht="27">
      <c r="A31" s="293" t="s">
        <v>175</v>
      </c>
      <c r="B31" s="209"/>
      <c r="C31" s="209"/>
      <c r="D31" s="209"/>
      <c r="E31" s="209"/>
      <c r="F31" s="209"/>
      <c r="G31" s="209"/>
      <c r="H31" s="209"/>
      <c r="I31" s="209"/>
      <c r="J31" s="210">
        <v>15</v>
      </c>
      <c r="K31" s="291">
        <v>15</v>
      </c>
    </row>
    <row r="32" spans="1:11" s="40" customFormat="1" ht="33" customHeight="1">
      <c r="A32" s="200" t="s">
        <v>176</v>
      </c>
      <c r="B32" s="210"/>
      <c r="C32" s="210"/>
      <c r="D32" s="210"/>
      <c r="E32" s="210"/>
      <c r="F32" s="210"/>
      <c r="G32" s="210"/>
      <c r="H32" s="210"/>
      <c r="I32" s="210"/>
      <c r="J32" s="210">
        <v>100</v>
      </c>
      <c r="K32" s="210">
        <f>K31/K29*100</f>
        <v>100</v>
      </c>
    </row>
    <row r="33" spans="1:11" ht="16.5" customHeight="1">
      <c r="A33" s="639" t="s">
        <v>969</v>
      </c>
      <c r="B33" s="639"/>
      <c r="C33" s="639"/>
      <c r="D33" s="639"/>
      <c r="E33" s="640" t="s">
        <v>952</v>
      </c>
      <c r="F33" s="640"/>
      <c r="G33" s="640"/>
      <c r="H33" s="640"/>
      <c r="I33" s="640"/>
      <c r="J33" s="640"/>
      <c r="K33" s="640"/>
    </row>
    <row r="34" spans="1:13" ht="28.5" customHeight="1">
      <c r="A34" s="458" t="str">
        <f>"- "&amp;Sheet1!B39&amp;" -"</f>
        <v>- 250 -</v>
      </c>
      <c r="B34" s="458"/>
      <c r="C34" s="458"/>
      <c r="D34" s="458"/>
      <c r="E34" s="458" t="str">
        <f>"- "&amp;Sheet1!C39&amp;" -"</f>
        <v>- 251 -</v>
      </c>
      <c r="F34" s="458"/>
      <c r="G34" s="458"/>
      <c r="H34" s="458"/>
      <c r="I34" s="458"/>
      <c r="J34" s="458"/>
      <c r="K34" s="458"/>
      <c r="L34" s="296"/>
      <c r="M34" s="296"/>
    </row>
  </sheetData>
  <sheetProtection/>
  <mergeCells count="8">
    <mergeCell ref="A1:D1"/>
    <mergeCell ref="A2:C2"/>
    <mergeCell ref="F1:J1"/>
    <mergeCell ref="G2:I3"/>
    <mergeCell ref="A34:D34"/>
    <mergeCell ref="E34:K34"/>
    <mergeCell ref="A33:D33"/>
    <mergeCell ref="E33:K33"/>
  </mergeCells>
  <printOptions/>
  <pageMargins left="0.6299212598425197" right="0.3937007874015748" top="0.4270833333333333" bottom="0" header="0.5118110236220472" footer="0.70866141732283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view="pageLayout" zoomScaleNormal="75" zoomScaleSheetLayoutView="85" workbookViewId="0" topLeftCell="A28">
      <selection activeCell="A9" sqref="A9"/>
    </sheetView>
  </sheetViews>
  <sheetFormatPr defaultColWidth="9.00390625" defaultRowHeight="16.5"/>
  <cols>
    <col min="1" max="1" width="31.125" style="79" customWidth="1"/>
    <col min="2" max="5" width="15.25390625" style="79" customWidth="1"/>
    <col min="6" max="6" width="15.875" style="79" customWidth="1"/>
    <col min="7" max="9" width="13.625" style="79" customWidth="1"/>
    <col min="10" max="10" width="15.75390625" style="79" customWidth="1"/>
    <col min="11" max="11" width="16.375" style="79" customWidth="1"/>
    <col min="12" max="16384" width="9.00390625" style="79" customWidth="1"/>
  </cols>
  <sheetData>
    <row r="1" spans="1:11" s="80" customFormat="1" ht="21.75" customHeight="1">
      <c r="A1" s="355" t="s">
        <v>18</v>
      </c>
      <c r="B1" s="355"/>
      <c r="C1" s="355"/>
      <c r="D1" s="355"/>
      <c r="E1" s="355"/>
      <c r="F1" s="459" t="s">
        <v>195</v>
      </c>
      <c r="G1" s="463"/>
      <c r="H1" s="463"/>
      <c r="I1" s="463"/>
      <c r="J1" s="463"/>
      <c r="K1" s="463"/>
    </row>
    <row r="2" spans="1:11" ht="5.25" customHeight="1">
      <c r="A2" s="11"/>
      <c r="B2" s="34"/>
      <c r="C2" s="34"/>
      <c r="D2" s="34"/>
      <c r="E2" s="156"/>
      <c r="F2" s="4"/>
      <c r="G2" s="146"/>
      <c r="H2" s="34"/>
      <c r="I2" s="34"/>
      <c r="J2" s="11"/>
      <c r="K2" s="11"/>
    </row>
    <row r="3" spans="1:11" s="75" customFormat="1" ht="15" customHeight="1">
      <c r="A3" s="465" t="s">
        <v>831</v>
      </c>
      <c r="B3" s="466"/>
      <c r="C3" s="466"/>
      <c r="D3" s="466"/>
      <c r="E3" s="466"/>
      <c r="F3" s="466" t="s">
        <v>832</v>
      </c>
      <c r="G3" s="466"/>
      <c r="H3" s="466"/>
      <c r="I3" s="466"/>
      <c r="J3" s="466"/>
      <c r="K3" s="466"/>
    </row>
    <row r="4" spans="1:11" ht="4.5" customHeight="1">
      <c r="A4" s="36"/>
      <c r="B4" s="34"/>
      <c r="C4" s="34"/>
      <c r="D4" s="34"/>
      <c r="E4" s="34"/>
      <c r="F4" s="34"/>
      <c r="G4" s="34"/>
      <c r="H4" s="34"/>
      <c r="I4" s="11"/>
      <c r="J4" s="11"/>
      <c r="K4" s="11"/>
    </row>
    <row r="5" spans="1:11" s="40" customFormat="1" ht="30.75" customHeight="1">
      <c r="A5" s="642" t="s">
        <v>313</v>
      </c>
      <c r="B5" s="157" t="s">
        <v>312</v>
      </c>
      <c r="C5" s="157" t="s">
        <v>466</v>
      </c>
      <c r="D5" s="157" t="s">
        <v>467</v>
      </c>
      <c r="E5" s="157" t="s">
        <v>468</v>
      </c>
      <c r="F5" s="125" t="s">
        <v>469</v>
      </c>
      <c r="G5" s="158" t="s">
        <v>470</v>
      </c>
      <c r="H5" s="158" t="s">
        <v>471</v>
      </c>
      <c r="I5" s="158" t="s">
        <v>472</v>
      </c>
      <c r="J5" s="158" t="s">
        <v>473</v>
      </c>
      <c r="K5" s="158" t="s">
        <v>474</v>
      </c>
    </row>
    <row r="6" spans="1:11" ht="27">
      <c r="A6" s="174" t="s">
        <v>79</v>
      </c>
      <c r="B6" s="165" t="s">
        <v>104</v>
      </c>
      <c r="C6" s="166" t="s">
        <v>104</v>
      </c>
      <c r="D6" s="166" t="s">
        <v>104</v>
      </c>
      <c r="E6" s="166" t="s">
        <v>104</v>
      </c>
      <c r="F6" s="166" t="s">
        <v>104</v>
      </c>
      <c r="G6" s="166" t="s">
        <v>104</v>
      </c>
      <c r="H6" s="166" t="s">
        <v>104</v>
      </c>
      <c r="I6" s="166" t="s">
        <v>104</v>
      </c>
      <c r="J6" s="166" t="s">
        <v>104</v>
      </c>
      <c r="K6" s="166" t="s">
        <v>104</v>
      </c>
    </row>
    <row r="7" spans="1:11" ht="15.75">
      <c r="A7" s="171" t="s">
        <v>80</v>
      </c>
      <c r="B7" s="165" t="s">
        <v>105</v>
      </c>
      <c r="C7" s="166" t="s">
        <v>105</v>
      </c>
      <c r="D7" s="166" t="s">
        <v>475</v>
      </c>
      <c r="E7" s="166" t="s">
        <v>105</v>
      </c>
      <c r="F7" s="166" t="s">
        <v>475</v>
      </c>
      <c r="G7" s="166" t="s">
        <v>105</v>
      </c>
      <c r="H7" s="166" t="s">
        <v>475</v>
      </c>
      <c r="I7" s="166" t="s">
        <v>105</v>
      </c>
      <c r="J7" s="166" t="s">
        <v>105</v>
      </c>
      <c r="K7" s="166" t="s">
        <v>105</v>
      </c>
    </row>
    <row r="8" spans="1:11" s="82" customFormat="1" ht="15.75">
      <c r="A8" s="171" t="s">
        <v>81</v>
      </c>
      <c r="B8" s="165" t="s">
        <v>104</v>
      </c>
      <c r="C8" s="166" t="s">
        <v>475</v>
      </c>
      <c r="D8" s="166" t="s">
        <v>475</v>
      </c>
      <c r="E8" s="166" t="s">
        <v>104</v>
      </c>
      <c r="F8" s="166" t="s">
        <v>104</v>
      </c>
      <c r="G8" s="166" t="s">
        <v>104</v>
      </c>
      <c r="H8" s="166" t="s">
        <v>104</v>
      </c>
      <c r="I8" s="166" t="s">
        <v>104</v>
      </c>
      <c r="J8" s="166" t="s">
        <v>104</v>
      </c>
      <c r="K8" s="166" t="s">
        <v>104</v>
      </c>
    </row>
    <row r="9" spans="1:11" s="82" customFormat="1" ht="15.75">
      <c r="A9" s="171" t="s">
        <v>82</v>
      </c>
      <c r="B9" s="165" t="s">
        <v>475</v>
      </c>
      <c r="C9" s="166" t="s">
        <v>475</v>
      </c>
      <c r="D9" s="166" t="s">
        <v>475</v>
      </c>
      <c r="E9" s="166" t="s">
        <v>475</v>
      </c>
      <c r="F9" s="166" t="s">
        <v>475</v>
      </c>
      <c r="G9" s="166" t="s">
        <v>475</v>
      </c>
      <c r="H9" s="166" t="s">
        <v>475</v>
      </c>
      <c r="I9" s="166" t="s">
        <v>475</v>
      </c>
      <c r="J9" s="166" t="s">
        <v>475</v>
      </c>
      <c r="K9" s="166" t="s">
        <v>475</v>
      </c>
    </row>
    <row r="10" spans="1:11" s="82" customFormat="1" ht="15.75">
      <c r="A10" s="171" t="s">
        <v>83</v>
      </c>
      <c r="B10" s="166" t="s">
        <v>475</v>
      </c>
      <c r="C10" s="166" t="s">
        <v>475</v>
      </c>
      <c r="D10" s="166" t="s">
        <v>475</v>
      </c>
      <c r="E10" s="166" t="s">
        <v>475</v>
      </c>
      <c r="F10" s="166" t="s">
        <v>104</v>
      </c>
      <c r="G10" s="166" t="s">
        <v>475</v>
      </c>
      <c r="H10" s="166" t="s">
        <v>104</v>
      </c>
      <c r="I10" s="166" t="s">
        <v>104</v>
      </c>
      <c r="J10" s="166" t="s">
        <v>104</v>
      </c>
      <c r="K10" s="166" t="s">
        <v>104</v>
      </c>
    </row>
    <row r="11" spans="1:11" s="82" customFormat="1" ht="15.75">
      <c r="A11" s="171" t="s">
        <v>84</v>
      </c>
      <c r="B11" s="166" t="s">
        <v>475</v>
      </c>
      <c r="C11" s="166" t="s">
        <v>475</v>
      </c>
      <c r="D11" s="166" t="s">
        <v>475</v>
      </c>
      <c r="E11" s="166" t="s">
        <v>475</v>
      </c>
      <c r="F11" s="166" t="s">
        <v>104</v>
      </c>
      <c r="G11" s="166" t="s">
        <v>104</v>
      </c>
      <c r="H11" s="166" t="s">
        <v>104</v>
      </c>
      <c r="I11" s="166" t="s">
        <v>104</v>
      </c>
      <c r="J11" s="166" t="s">
        <v>104</v>
      </c>
      <c r="K11" s="166" t="s">
        <v>104</v>
      </c>
    </row>
    <row r="12" spans="1:11" s="82" customFormat="1" ht="15.75">
      <c r="A12" s="174" t="s">
        <v>85</v>
      </c>
      <c r="B12" s="166" t="s">
        <v>106</v>
      </c>
      <c r="C12" s="166" t="s">
        <v>475</v>
      </c>
      <c r="D12" s="166" t="s">
        <v>475</v>
      </c>
      <c r="E12" s="166" t="s">
        <v>475</v>
      </c>
      <c r="F12" s="166" t="s">
        <v>475</v>
      </c>
      <c r="G12" s="166" t="s">
        <v>475</v>
      </c>
      <c r="H12" s="166" t="s">
        <v>475</v>
      </c>
      <c r="I12" s="166" t="s">
        <v>475</v>
      </c>
      <c r="J12" s="166" t="s">
        <v>475</v>
      </c>
      <c r="K12" s="166" t="s">
        <v>475</v>
      </c>
    </row>
    <row r="13" spans="1:11" s="82" customFormat="1" ht="39.75">
      <c r="A13" s="174" t="s">
        <v>362</v>
      </c>
      <c r="B13" s="166" t="s">
        <v>475</v>
      </c>
      <c r="C13" s="166" t="s">
        <v>475</v>
      </c>
      <c r="D13" s="166" t="s">
        <v>475</v>
      </c>
      <c r="E13" s="166" t="s">
        <v>475</v>
      </c>
      <c r="F13" s="166" t="s">
        <v>475</v>
      </c>
      <c r="G13" s="166" t="s">
        <v>475</v>
      </c>
      <c r="H13" s="166" t="s">
        <v>475</v>
      </c>
      <c r="I13" s="166" t="s">
        <v>475</v>
      </c>
      <c r="J13" s="166" t="s">
        <v>475</v>
      </c>
      <c r="K13" s="166" t="s">
        <v>475</v>
      </c>
    </row>
    <row r="14" spans="1:11" s="82" customFormat="1" ht="65.25">
      <c r="A14" s="174" t="s">
        <v>11</v>
      </c>
      <c r="B14" s="166" t="s">
        <v>475</v>
      </c>
      <c r="C14" s="166" t="s">
        <v>105</v>
      </c>
      <c r="D14" s="166" t="s">
        <v>475</v>
      </c>
      <c r="E14" s="166" t="s">
        <v>475</v>
      </c>
      <c r="F14" s="166" t="s">
        <v>475</v>
      </c>
      <c r="G14" s="166" t="s">
        <v>475</v>
      </c>
      <c r="H14" s="166" t="s">
        <v>105</v>
      </c>
      <c r="I14" s="166" t="s">
        <v>36</v>
      </c>
      <c r="J14" s="166" t="s">
        <v>112</v>
      </c>
      <c r="K14" s="166" t="s">
        <v>112</v>
      </c>
    </row>
    <row r="15" spans="1:11" s="82" customFormat="1" ht="54.75" customHeight="1">
      <c r="A15" s="174" t="s">
        <v>10</v>
      </c>
      <c r="B15" s="166" t="s">
        <v>105</v>
      </c>
      <c r="C15" s="166" t="s">
        <v>105</v>
      </c>
      <c r="D15" s="166" t="s">
        <v>105</v>
      </c>
      <c r="E15" s="166" t="s">
        <v>105</v>
      </c>
      <c r="F15" s="166" t="s">
        <v>105</v>
      </c>
      <c r="G15" s="166" t="s">
        <v>105</v>
      </c>
      <c r="H15" s="166" t="s">
        <v>105</v>
      </c>
      <c r="I15" s="166" t="s">
        <v>105</v>
      </c>
      <c r="J15" s="166" t="s">
        <v>105</v>
      </c>
      <c r="K15" s="166" t="s">
        <v>105</v>
      </c>
    </row>
    <row r="16" spans="1:11" s="82" customFormat="1" ht="27">
      <c r="A16" s="174" t="s">
        <v>115</v>
      </c>
      <c r="B16" s="166" t="s">
        <v>475</v>
      </c>
      <c r="C16" s="166" t="s">
        <v>475</v>
      </c>
      <c r="D16" s="166" t="s">
        <v>475</v>
      </c>
      <c r="E16" s="166" t="s">
        <v>745</v>
      </c>
      <c r="F16" s="166" t="s">
        <v>105</v>
      </c>
      <c r="G16" s="166" t="s">
        <v>105</v>
      </c>
      <c r="H16" s="166" t="s">
        <v>105</v>
      </c>
      <c r="I16" s="166" t="s">
        <v>105</v>
      </c>
      <c r="J16" s="166" t="s">
        <v>107</v>
      </c>
      <c r="K16" s="166" t="s">
        <v>475</v>
      </c>
    </row>
    <row r="17" spans="1:11" s="82" customFormat="1" ht="28.5">
      <c r="A17" s="174" t="s">
        <v>864</v>
      </c>
      <c r="B17" s="166" t="s">
        <v>108</v>
      </c>
      <c r="C17" s="166" t="s">
        <v>109</v>
      </c>
      <c r="D17" s="166" t="s">
        <v>107</v>
      </c>
      <c r="E17" s="166" t="s">
        <v>746</v>
      </c>
      <c r="F17" s="166" t="s">
        <v>105</v>
      </c>
      <c r="G17" s="166" t="s">
        <v>105</v>
      </c>
      <c r="H17" s="166" t="s">
        <v>105</v>
      </c>
      <c r="I17" s="166" t="s">
        <v>105</v>
      </c>
      <c r="J17" s="166" t="s">
        <v>107</v>
      </c>
      <c r="K17" s="252" t="s">
        <v>114</v>
      </c>
    </row>
    <row r="18" spans="1:11" s="82" customFormat="1" ht="39.75">
      <c r="A18" s="174" t="s">
        <v>9</v>
      </c>
      <c r="B18" s="166" t="s">
        <v>475</v>
      </c>
      <c r="C18" s="166" t="s">
        <v>475</v>
      </c>
      <c r="D18" s="166" t="s">
        <v>747</v>
      </c>
      <c r="E18" s="166" t="s">
        <v>105</v>
      </c>
      <c r="F18" s="166" t="s">
        <v>105</v>
      </c>
      <c r="G18" s="166" t="s">
        <v>105</v>
      </c>
      <c r="H18" s="166" t="s">
        <v>105</v>
      </c>
      <c r="I18" s="166" t="s">
        <v>105</v>
      </c>
      <c r="J18" s="166" t="s">
        <v>107</v>
      </c>
      <c r="K18" s="166" t="s">
        <v>475</v>
      </c>
    </row>
    <row r="19" spans="1:11" s="82" customFormat="1" ht="52.5">
      <c r="A19" s="174" t="s">
        <v>86</v>
      </c>
      <c r="B19" s="165" t="s">
        <v>110</v>
      </c>
      <c r="C19" s="166" t="s">
        <v>110</v>
      </c>
      <c r="D19" s="166" t="s">
        <v>110</v>
      </c>
      <c r="E19" s="166" t="s">
        <v>110</v>
      </c>
      <c r="F19" s="166" t="s">
        <v>110</v>
      </c>
      <c r="G19" s="166" t="s">
        <v>110</v>
      </c>
      <c r="H19" s="166" t="s">
        <v>110</v>
      </c>
      <c r="I19" s="166" t="s">
        <v>110</v>
      </c>
      <c r="J19" s="166" t="s">
        <v>110</v>
      </c>
      <c r="K19" s="166" t="s">
        <v>110</v>
      </c>
    </row>
    <row r="20" spans="1:11" s="82" customFormat="1" ht="52.5">
      <c r="A20" s="174" t="s">
        <v>87</v>
      </c>
      <c r="B20" s="166" t="s">
        <v>475</v>
      </c>
      <c r="C20" s="166" t="s">
        <v>475</v>
      </c>
      <c r="D20" s="166" t="s">
        <v>475</v>
      </c>
      <c r="E20" s="166" t="s">
        <v>475</v>
      </c>
      <c r="F20" s="166" t="s">
        <v>475</v>
      </c>
      <c r="G20" s="166" t="s">
        <v>104</v>
      </c>
      <c r="H20" s="166" t="s">
        <v>475</v>
      </c>
      <c r="I20" s="166" t="s">
        <v>113</v>
      </c>
      <c r="J20" s="166" t="s">
        <v>475</v>
      </c>
      <c r="K20" s="166" t="s">
        <v>113</v>
      </c>
    </row>
    <row r="21" spans="1:11" s="82" customFormat="1" ht="28.5">
      <c r="A21" s="223" t="s">
        <v>830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</row>
    <row r="22" spans="1:11" s="82" customFormat="1" ht="27">
      <c r="A22" s="174" t="s">
        <v>1000</v>
      </c>
      <c r="B22" s="165" t="s">
        <v>105</v>
      </c>
      <c r="C22" s="166" t="s">
        <v>108</v>
      </c>
      <c r="D22" s="166" t="s">
        <v>108</v>
      </c>
      <c r="E22" s="166" t="s">
        <v>105</v>
      </c>
      <c r="F22" s="166" t="s">
        <v>108</v>
      </c>
      <c r="G22" s="166" t="s">
        <v>108</v>
      </c>
      <c r="H22" s="166" t="s">
        <v>108</v>
      </c>
      <c r="I22" s="166" t="s">
        <v>108</v>
      </c>
      <c r="J22" s="166" t="s">
        <v>475</v>
      </c>
      <c r="K22" s="166" t="s">
        <v>475</v>
      </c>
    </row>
    <row r="23" spans="1:11" s="82" customFormat="1" ht="27">
      <c r="A23" s="174" t="s">
        <v>399</v>
      </c>
      <c r="B23" s="165" t="s">
        <v>111</v>
      </c>
      <c r="C23" s="166" t="s">
        <v>475</v>
      </c>
      <c r="D23" s="166" t="s">
        <v>475</v>
      </c>
      <c r="E23" s="166" t="s">
        <v>111</v>
      </c>
      <c r="F23" s="166" t="s">
        <v>475</v>
      </c>
      <c r="G23" s="166" t="s">
        <v>475</v>
      </c>
      <c r="H23" s="166" t="s">
        <v>110</v>
      </c>
      <c r="I23" s="166" t="s">
        <v>475</v>
      </c>
      <c r="J23" s="166" t="s">
        <v>475</v>
      </c>
      <c r="K23" s="166" t="s">
        <v>475</v>
      </c>
    </row>
    <row r="24" spans="1:11" ht="27">
      <c r="A24" s="174" t="s">
        <v>397</v>
      </c>
      <c r="B24" s="165" t="s">
        <v>111</v>
      </c>
      <c r="C24" s="166" t="s">
        <v>111</v>
      </c>
      <c r="D24" s="166" t="s">
        <v>111</v>
      </c>
      <c r="E24" s="166" t="s">
        <v>111</v>
      </c>
      <c r="F24" s="166" t="s">
        <v>110</v>
      </c>
      <c r="G24" s="166" t="s">
        <v>475</v>
      </c>
      <c r="H24" s="166" t="s">
        <v>110</v>
      </c>
      <c r="I24" s="166" t="s">
        <v>475</v>
      </c>
      <c r="J24" s="166" t="s">
        <v>475</v>
      </c>
      <c r="K24" s="166" t="s">
        <v>475</v>
      </c>
    </row>
    <row r="25" spans="1:11" s="81" customFormat="1" ht="27">
      <c r="A25" s="174" t="s">
        <v>398</v>
      </c>
      <c r="B25" s="165" t="s">
        <v>475</v>
      </c>
      <c r="C25" s="166" t="s">
        <v>111</v>
      </c>
      <c r="D25" s="166" t="s">
        <v>111</v>
      </c>
      <c r="E25" s="166" t="s">
        <v>111</v>
      </c>
      <c r="F25" s="166" t="s">
        <v>110</v>
      </c>
      <c r="G25" s="166" t="s">
        <v>110</v>
      </c>
      <c r="H25" s="166" t="s">
        <v>110</v>
      </c>
      <c r="I25" s="166" t="s">
        <v>110</v>
      </c>
      <c r="J25" s="166" t="s">
        <v>475</v>
      </c>
      <c r="K25" s="166" t="s">
        <v>110</v>
      </c>
    </row>
    <row r="26" spans="1:11" ht="27">
      <c r="A26" s="174" t="s">
        <v>165</v>
      </c>
      <c r="B26" s="166" t="s">
        <v>475</v>
      </c>
      <c r="C26" s="166" t="s">
        <v>475</v>
      </c>
      <c r="D26" s="166" t="s">
        <v>475</v>
      </c>
      <c r="E26" s="166" t="s">
        <v>475</v>
      </c>
      <c r="F26" s="166" t="s">
        <v>475</v>
      </c>
      <c r="G26" s="166" t="s">
        <v>475</v>
      </c>
      <c r="H26" s="166" t="s">
        <v>475</v>
      </c>
      <c r="I26" s="166" t="s">
        <v>475</v>
      </c>
      <c r="J26" s="166" t="s">
        <v>475</v>
      </c>
      <c r="K26" s="166" t="s">
        <v>116</v>
      </c>
    </row>
    <row r="27" spans="1:11" ht="27">
      <c r="A27" s="334" t="s">
        <v>164</v>
      </c>
      <c r="B27" s="333" t="s">
        <v>475</v>
      </c>
      <c r="C27" s="333" t="s">
        <v>475</v>
      </c>
      <c r="D27" s="333" t="s">
        <v>475</v>
      </c>
      <c r="E27" s="333" t="s">
        <v>475</v>
      </c>
      <c r="F27" s="333" t="s">
        <v>475</v>
      </c>
      <c r="G27" s="333" t="s">
        <v>475</v>
      </c>
      <c r="H27" s="333" t="s">
        <v>475</v>
      </c>
      <c r="I27" s="333" t="s">
        <v>475</v>
      </c>
      <c r="J27" s="333" t="s">
        <v>475</v>
      </c>
      <c r="K27" s="354" t="s">
        <v>117</v>
      </c>
    </row>
    <row r="32" spans="1:11" ht="15.75">
      <c r="A32" s="458" t="str">
        <f>"- "&amp;Sheet1!D25&amp;" -"</f>
        <v>- 150 -</v>
      </c>
      <c r="B32" s="458"/>
      <c r="C32" s="458"/>
      <c r="D32" s="458"/>
      <c r="E32" s="458"/>
      <c r="F32" s="458" t="str">
        <f>"- "&amp;Sheet1!E25&amp;" -"</f>
        <v>- 151 -</v>
      </c>
      <c r="G32" s="458"/>
      <c r="H32" s="458"/>
      <c r="I32" s="458"/>
      <c r="J32" s="458"/>
      <c r="K32" s="458"/>
    </row>
    <row r="44" ht="15.75">
      <c r="A44" s="328"/>
    </row>
  </sheetData>
  <sheetProtection/>
  <mergeCells count="6">
    <mergeCell ref="F32:K32"/>
    <mergeCell ref="A32:E32"/>
    <mergeCell ref="F1:K1"/>
    <mergeCell ref="A1:E1"/>
    <mergeCell ref="A3:E3"/>
    <mergeCell ref="F3:K3"/>
  </mergeCells>
  <printOptions/>
  <pageMargins left="0.6299212598425197" right="0.31496062992125984" top="0.5511811023622047" bottom="0.03125" header="0.5118110236220472" footer="0.7086614173228347"/>
  <pageSetup horizontalDpi="600" verticalDpi="600" orientation="portrait" paperSize="9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view="pageLayout" zoomScaleNormal="75" zoomScaleSheetLayoutView="85" workbookViewId="0" topLeftCell="A1">
      <selection activeCell="A8" sqref="A8"/>
    </sheetView>
  </sheetViews>
  <sheetFormatPr defaultColWidth="9.00390625" defaultRowHeight="16.5"/>
  <cols>
    <col min="1" max="1" width="31.125" style="79" customWidth="1"/>
    <col min="2" max="5" width="15.25390625" style="79" customWidth="1"/>
    <col min="6" max="6" width="15.875" style="79" customWidth="1"/>
    <col min="7" max="9" width="13.625" style="79" customWidth="1"/>
    <col min="10" max="10" width="15.75390625" style="79" customWidth="1"/>
    <col min="11" max="12" width="16.375" style="79" customWidth="1"/>
    <col min="13" max="16384" width="9.00390625" style="79" customWidth="1"/>
  </cols>
  <sheetData>
    <row r="1" spans="1:11" s="80" customFormat="1" ht="21.75" customHeight="1">
      <c r="A1" s="459" t="s">
        <v>854</v>
      </c>
      <c r="B1" s="459"/>
      <c r="C1" s="459"/>
      <c r="D1" s="459"/>
      <c r="E1" s="459"/>
      <c r="F1" s="459" t="s">
        <v>196</v>
      </c>
      <c r="G1" s="463"/>
      <c r="H1" s="463"/>
      <c r="I1" s="463"/>
      <c r="J1" s="463"/>
      <c r="K1" s="463"/>
    </row>
    <row r="2" spans="1:11" ht="12" customHeight="1">
      <c r="A2" s="11"/>
      <c r="B2" s="34"/>
      <c r="C2" s="34"/>
      <c r="D2" s="34"/>
      <c r="E2" s="156"/>
      <c r="F2" s="4"/>
      <c r="G2" s="146"/>
      <c r="H2" s="34"/>
      <c r="I2" s="34"/>
      <c r="J2" s="11"/>
      <c r="K2" s="11"/>
    </row>
    <row r="3" spans="1:11" s="75" customFormat="1" ht="15" customHeight="1">
      <c r="A3" s="465" t="s">
        <v>831</v>
      </c>
      <c r="B3" s="466"/>
      <c r="C3" s="466"/>
      <c r="D3" s="466"/>
      <c r="E3" s="466"/>
      <c r="F3" s="466" t="s">
        <v>832</v>
      </c>
      <c r="G3" s="466"/>
      <c r="H3" s="466"/>
      <c r="I3" s="466"/>
      <c r="J3" s="466"/>
      <c r="K3" s="466"/>
    </row>
    <row r="4" spans="1:11" ht="8.25" customHeight="1">
      <c r="A4" s="337"/>
      <c r="B4" s="232"/>
      <c r="C4" s="232"/>
      <c r="D4" s="232"/>
      <c r="E4" s="232"/>
      <c r="F4" s="232"/>
      <c r="G4" s="232"/>
      <c r="H4" s="232"/>
      <c r="I4" s="108"/>
      <c r="J4" s="108"/>
      <c r="K4" s="108"/>
    </row>
    <row r="5" spans="1:15" s="40" customFormat="1" ht="30.75" customHeight="1">
      <c r="A5" s="643" t="s">
        <v>313</v>
      </c>
      <c r="B5" s="335" t="s">
        <v>465</v>
      </c>
      <c r="C5" s="335" t="s">
        <v>466</v>
      </c>
      <c r="D5" s="335" t="s">
        <v>467</v>
      </c>
      <c r="E5" s="335" t="s">
        <v>468</v>
      </c>
      <c r="F5" s="326" t="s">
        <v>469</v>
      </c>
      <c r="G5" s="336" t="s">
        <v>470</v>
      </c>
      <c r="H5" s="336" t="s">
        <v>471</v>
      </c>
      <c r="I5" s="336" t="s">
        <v>472</v>
      </c>
      <c r="J5" s="336" t="s">
        <v>473</v>
      </c>
      <c r="K5" s="336" t="s">
        <v>474</v>
      </c>
      <c r="L5" s="22"/>
      <c r="M5" s="22"/>
      <c r="N5" s="22"/>
      <c r="O5" s="22"/>
    </row>
    <row r="6" spans="1:15" ht="36.75" customHeight="1">
      <c r="A6" s="174" t="s">
        <v>7</v>
      </c>
      <c r="B6" s="165" t="s">
        <v>475</v>
      </c>
      <c r="C6" s="166" t="s">
        <v>475</v>
      </c>
      <c r="D6" s="166" t="s">
        <v>475</v>
      </c>
      <c r="E6" s="166" t="s">
        <v>475</v>
      </c>
      <c r="F6" s="166" t="s">
        <v>475</v>
      </c>
      <c r="G6" s="166" t="s">
        <v>475</v>
      </c>
      <c r="H6" s="166" t="s">
        <v>475</v>
      </c>
      <c r="I6" s="166" t="s">
        <v>475</v>
      </c>
      <c r="J6" s="166" t="s">
        <v>475</v>
      </c>
      <c r="K6" s="166" t="s">
        <v>475</v>
      </c>
      <c r="L6" s="11"/>
      <c r="M6" s="11"/>
      <c r="N6" s="11"/>
      <c r="O6" s="11"/>
    </row>
    <row r="7" spans="1:15" ht="15" customHeight="1">
      <c r="A7" s="171" t="s">
        <v>865</v>
      </c>
      <c r="B7" s="166" t="s">
        <v>475</v>
      </c>
      <c r="C7" s="166" t="s">
        <v>104</v>
      </c>
      <c r="D7" s="166" t="s">
        <v>104</v>
      </c>
      <c r="E7" s="166" t="s">
        <v>104</v>
      </c>
      <c r="F7" s="166" t="s">
        <v>475</v>
      </c>
      <c r="G7" s="166" t="s">
        <v>104</v>
      </c>
      <c r="H7" s="166" t="s">
        <v>475</v>
      </c>
      <c r="I7" s="166" t="s">
        <v>104</v>
      </c>
      <c r="J7" s="166" t="s">
        <v>475</v>
      </c>
      <c r="K7" s="166" t="s">
        <v>475</v>
      </c>
      <c r="L7" s="11"/>
      <c r="M7" s="11"/>
      <c r="N7" s="11"/>
      <c r="O7" s="11"/>
    </row>
    <row r="8" spans="1:15" ht="15" customHeight="1">
      <c r="A8" s="175" t="s">
        <v>6</v>
      </c>
      <c r="B8" s="165" t="s">
        <v>475</v>
      </c>
      <c r="C8" s="166" t="s">
        <v>475</v>
      </c>
      <c r="D8" s="166" t="s">
        <v>475</v>
      </c>
      <c r="E8" s="166" t="s">
        <v>104</v>
      </c>
      <c r="F8" s="166" t="s">
        <v>104</v>
      </c>
      <c r="G8" s="166" t="s">
        <v>104</v>
      </c>
      <c r="H8" s="166" t="s">
        <v>104</v>
      </c>
      <c r="I8" s="166" t="s">
        <v>104</v>
      </c>
      <c r="J8" s="166" t="s">
        <v>104</v>
      </c>
      <c r="K8" s="166" t="s">
        <v>104</v>
      </c>
      <c r="L8" s="11"/>
      <c r="M8" s="11"/>
      <c r="N8" s="11"/>
      <c r="O8" s="11"/>
    </row>
    <row r="9" spans="1:15" ht="60" customHeight="1">
      <c r="A9" s="153" t="s">
        <v>1009</v>
      </c>
      <c r="B9" s="165" t="s">
        <v>475</v>
      </c>
      <c r="C9" s="166" t="s">
        <v>104</v>
      </c>
      <c r="D9" s="166" t="s">
        <v>104</v>
      </c>
      <c r="E9" s="166" t="s">
        <v>475</v>
      </c>
      <c r="F9" s="166" t="s">
        <v>475</v>
      </c>
      <c r="G9" s="166" t="s">
        <v>104</v>
      </c>
      <c r="H9" s="166" t="s">
        <v>475</v>
      </c>
      <c r="I9" s="166" t="s">
        <v>475</v>
      </c>
      <c r="J9" s="166" t="s">
        <v>104</v>
      </c>
      <c r="K9" s="166" t="s">
        <v>104</v>
      </c>
      <c r="L9" s="11"/>
      <c r="M9" s="11"/>
      <c r="N9" s="11"/>
      <c r="O9" s="11"/>
    </row>
    <row r="10" spans="1:15" ht="39.75">
      <c r="A10" s="153" t="s">
        <v>8</v>
      </c>
      <c r="B10" s="165" t="s">
        <v>475</v>
      </c>
      <c r="C10" s="166" t="s">
        <v>475</v>
      </c>
      <c r="D10" s="166" t="s">
        <v>475</v>
      </c>
      <c r="E10" s="166" t="s">
        <v>475</v>
      </c>
      <c r="F10" s="166" t="s">
        <v>110</v>
      </c>
      <c r="G10" s="166" t="s">
        <v>475</v>
      </c>
      <c r="H10" s="170" t="s">
        <v>110</v>
      </c>
      <c r="I10" s="170" t="s">
        <v>475</v>
      </c>
      <c r="J10" s="170" t="s">
        <v>110</v>
      </c>
      <c r="K10" s="166" t="s">
        <v>110</v>
      </c>
      <c r="L10" s="11"/>
      <c r="M10" s="11"/>
      <c r="N10" s="11"/>
      <c r="O10" s="11"/>
    </row>
    <row r="11" spans="1:15" ht="15.75">
      <c r="A11" s="68" t="s">
        <v>5</v>
      </c>
      <c r="B11" s="165" t="s">
        <v>104</v>
      </c>
      <c r="C11" s="166" t="s">
        <v>104</v>
      </c>
      <c r="D11" s="166" t="s">
        <v>54</v>
      </c>
      <c r="E11" s="166" t="s">
        <v>104</v>
      </c>
      <c r="F11" s="166" t="s">
        <v>104</v>
      </c>
      <c r="G11" s="166" t="s">
        <v>104</v>
      </c>
      <c r="H11" s="170" t="s">
        <v>288</v>
      </c>
      <c r="I11" s="170" t="s">
        <v>154</v>
      </c>
      <c r="J11" s="170" t="s">
        <v>154</v>
      </c>
      <c r="K11" s="170" t="s">
        <v>154</v>
      </c>
      <c r="L11" s="11"/>
      <c r="M11" s="11"/>
      <c r="N11" s="11"/>
      <c r="O11" s="11"/>
    </row>
    <row r="12" spans="1:15" ht="15.75">
      <c r="A12" s="153" t="s">
        <v>4</v>
      </c>
      <c r="B12" s="165" t="s">
        <v>104</v>
      </c>
      <c r="C12" s="166" t="s">
        <v>104</v>
      </c>
      <c r="D12" s="166" t="s">
        <v>104</v>
      </c>
      <c r="E12" s="166" t="s">
        <v>104</v>
      </c>
      <c r="F12" s="166" t="s">
        <v>104</v>
      </c>
      <c r="G12" s="166" t="s">
        <v>104</v>
      </c>
      <c r="H12" s="170" t="s">
        <v>104</v>
      </c>
      <c r="I12" s="170" t="s">
        <v>104</v>
      </c>
      <c r="J12" s="170" t="s">
        <v>104</v>
      </c>
      <c r="K12" s="170" t="s">
        <v>104</v>
      </c>
      <c r="L12" s="11"/>
      <c r="M12" s="11"/>
      <c r="N12" s="11"/>
      <c r="O12" s="11"/>
    </row>
    <row r="13" spans="1:15" ht="59.25" customHeight="1">
      <c r="A13" s="153" t="s">
        <v>3</v>
      </c>
      <c r="B13" s="165" t="s">
        <v>475</v>
      </c>
      <c r="C13" s="166" t="s">
        <v>475</v>
      </c>
      <c r="D13" s="166" t="s">
        <v>475</v>
      </c>
      <c r="E13" s="166" t="s">
        <v>475</v>
      </c>
      <c r="F13" s="166" t="s">
        <v>475</v>
      </c>
      <c r="G13" s="166" t="s">
        <v>475</v>
      </c>
      <c r="H13" s="170" t="s">
        <v>475</v>
      </c>
      <c r="I13" s="170" t="s">
        <v>475</v>
      </c>
      <c r="J13" s="170" t="s">
        <v>475</v>
      </c>
      <c r="K13" s="170" t="s">
        <v>475</v>
      </c>
      <c r="L13" s="11"/>
      <c r="M13" s="11"/>
      <c r="N13" s="11"/>
      <c r="O13" s="11"/>
    </row>
    <row r="14" spans="1:15" ht="52.5">
      <c r="A14" s="153" t="s">
        <v>1010</v>
      </c>
      <c r="B14" s="165" t="s">
        <v>475</v>
      </c>
      <c r="C14" s="166" t="s">
        <v>475</v>
      </c>
      <c r="D14" s="166" t="s">
        <v>475</v>
      </c>
      <c r="E14" s="166" t="s">
        <v>475</v>
      </c>
      <c r="F14" s="166" t="s">
        <v>475</v>
      </c>
      <c r="G14" s="166" t="s">
        <v>475</v>
      </c>
      <c r="H14" s="170" t="s">
        <v>104</v>
      </c>
      <c r="I14" s="170" t="s">
        <v>475</v>
      </c>
      <c r="J14" s="170" t="s">
        <v>475</v>
      </c>
      <c r="K14" s="170" t="s">
        <v>475</v>
      </c>
      <c r="L14" s="11"/>
      <c r="M14" s="11"/>
      <c r="N14" s="11"/>
      <c r="O14" s="11"/>
    </row>
    <row r="15" spans="1:15" ht="52.5">
      <c r="A15" s="153" t="s">
        <v>1011</v>
      </c>
      <c r="B15" s="165" t="s">
        <v>475</v>
      </c>
      <c r="C15" s="166" t="s">
        <v>110</v>
      </c>
      <c r="D15" s="170" t="s">
        <v>110</v>
      </c>
      <c r="E15" s="166" t="s">
        <v>475</v>
      </c>
      <c r="F15" s="166" t="s">
        <v>475</v>
      </c>
      <c r="G15" s="166" t="s">
        <v>475</v>
      </c>
      <c r="H15" s="170" t="s">
        <v>104</v>
      </c>
      <c r="I15" s="170" t="s">
        <v>104</v>
      </c>
      <c r="J15" s="170" t="s">
        <v>104</v>
      </c>
      <c r="K15" s="170" t="s">
        <v>104</v>
      </c>
      <c r="L15" s="11"/>
      <c r="M15" s="11"/>
      <c r="N15" s="11"/>
      <c r="O15" s="11"/>
    </row>
    <row r="16" spans="1:15" ht="15" customHeight="1">
      <c r="A16" s="175" t="s">
        <v>866</v>
      </c>
      <c r="B16" s="165" t="s">
        <v>105</v>
      </c>
      <c r="C16" s="166" t="s">
        <v>475</v>
      </c>
      <c r="D16" s="166" t="s">
        <v>105</v>
      </c>
      <c r="E16" s="166" t="s">
        <v>475</v>
      </c>
      <c r="F16" s="166" t="s">
        <v>110</v>
      </c>
      <c r="G16" s="166" t="s">
        <v>110</v>
      </c>
      <c r="H16" s="170" t="s">
        <v>110</v>
      </c>
      <c r="I16" s="166" t="s">
        <v>110</v>
      </c>
      <c r="J16" s="170" t="s">
        <v>110</v>
      </c>
      <c r="K16" s="166" t="s">
        <v>110</v>
      </c>
      <c r="L16" s="11"/>
      <c r="M16" s="11"/>
      <c r="N16" s="11"/>
      <c r="O16" s="11"/>
    </row>
    <row r="17" spans="1:15" ht="30" customHeight="1">
      <c r="A17" s="153" t="s">
        <v>0</v>
      </c>
      <c r="B17" s="165" t="s">
        <v>475</v>
      </c>
      <c r="C17" s="166" t="s">
        <v>104</v>
      </c>
      <c r="D17" s="166" t="s">
        <v>104</v>
      </c>
      <c r="E17" s="166" t="s">
        <v>104</v>
      </c>
      <c r="F17" s="166" t="s">
        <v>475</v>
      </c>
      <c r="G17" s="166" t="s">
        <v>104</v>
      </c>
      <c r="H17" s="170" t="s">
        <v>475</v>
      </c>
      <c r="I17" s="170" t="s">
        <v>475</v>
      </c>
      <c r="J17" s="170" t="s">
        <v>475</v>
      </c>
      <c r="K17" s="170" t="s">
        <v>475</v>
      </c>
      <c r="L17" s="11"/>
      <c r="M17" s="11"/>
      <c r="N17" s="11"/>
      <c r="O17" s="11"/>
    </row>
    <row r="18" spans="1:15" ht="39.75">
      <c r="A18" s="153" t="s">
        <v>1</v>
      </c>
      <c r="B18" s="165" t="s">
        <v>475</v>
      </c>
      <c r="C18" s="166" t="s">
        <v>475</v>
      </c>
      <c r="D18" s="166" t="s">
        <v>475</v>
      </c>
      <c r="E18" s="166" t="s">
        <v>475</v>
      </c>
      <c r="F18" s="166" t="s">
        <v>104</v>
      </c>
      <c r="G18" s="166" t="s">
        <v>475</v>
      </c>
      <c r="H18" s="166" t="s">
        <v>104</v>
      </c>
      <c r="I18" s="166" t="s">
        <v>475</v>
      </c>
      <c r="J18" s="166" t="s">
        <v>475</v>
      </c>
      <c r="K18" s="170" t="s">
        <v>475</v>
      </c>
      <c r="L18" s="11"/>
      <c r="M18" s="11"/>
      <c r="N18" s="11"/>
      <c r="O18" s="11"/>
    </row>
    <row r="19" spans="1:15" ht="59.25" customHeight="1">
      <c r="A19" s="174" t="s">
        <v>859</v>
      </c>
      <c r="B19" s="166" t="s">
        <v>475</v>
      </c>
      <c r="C19" s="166" t="s">
        <v>475</v>
      </c>
      <c r="D19" s="166" t="s">
        <v>475</v>
      </c>
      <c r="E19" s="166" t="s">
        <v>475</v>
      </c>
      <c r="F19" s="166" t="s">
        <v>475</v>
      </c>
      <c r="G19" s="166" t="s">
        <v>104</v>
      </c>
      <c r="H19" s="166" t="s">
        <v>475</v>
      </c>
      <c r="I19" s="166" t="s">
        <v>475</v>
      </c>
      <c r="J19" s="166" t="s">
        <v>475</v>
      </c>
      <c r="K19" s="166" t="s">
        <v>475</v>
      </c>
      <c r="L19" s="11"/>
      <c r="M19" s="11"/>
      <c r="N19" s="11"/>
      <c r="O19" s="11"/>
    </row>
    <row r="20" spans="1:15" ht="48.75" customHeight="1">
      <c r="A20" s="334" t="s">
        <v>2</v>
      </c>
      <c r="B20" s="333" t="s">
        <v>475</v>
      </c>
      <c r="C20" s="333" t="s">
        <v>475</v>
      </c>
      <c r="D20" s="333" t="s">
        <v>475</v>
      </c>
      <c r="E20" s="333" t="s">
        <v>475</v>
      </c>
      <c r="F20" s="333" t="s">
        <v>475</v>
      </c>
      <c r="G20" s="333" t="s">
        <v>475</v>
      </c>
      <c r="H20" s="333" t="s">
        <v>475</v>
      </c>
      <c r="I20" s="333" t="s">
        <v>104</v>
      </c>
      <c r="J20" s="333" t="s">
        <v>475</v>
      </c>
      <c r="K20" s="333" t="s">
        <v>475</v>
      </c>
      <c r="L20" s="11"/>
      <c r="M20" s="11"/>
      <c r="N20" s="11"/>
      <c r="O20" s="11"/>
    </row>
    <row r="21" spans="1:15" ht="15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7" spans="1:11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32" spans="1:11" ht="15.75">
      <c r="A32" s="458" t="str">
        <f>"- "&amp;Sheet1!F25&amp;" -"</f>
        <v>- 152 -</v>
      </c>
      <c r="B32" s="458"/>
      <c r="C32" s="458"/>
      <c r="D32" s="458"/>
      <c r="E32" s="458"/>
      <c r="F32" s="458" t="str">
        <f>"- "&amp;Sheet1!G25&amp;" -"</f>
        <v>- 153 -</v>
      </c>
      <c r="G32" s="458"/>
      <c r="H32" s="458"/>
      <c r="I32" s="458"/>
      <c r="J32" s="458"/>
      <c r="K32" s="458"/>
    </row>
    <row r="33" spans="4:5" ht="19.5">
      <c r="D33" s="43"/>
      <c r="E33" s="44"/>
    </row>
    <row r="44" ht="15.75">
      <c r="A44" s="328"/>
    </row>
  </sheetData>
  <sheetProtection/>
  <mergeCells count="6">
    <mergeCell ref="A32:E32"/>
    <mergeCell ref="F32:K32"/>
    <mergeCell ref="A1:E1"/>
    <mergeCell ref="F1:K1"/>
    <mergeCell ref="A3:E3"/>
    <mergeCell ref="F3:K3"/>
  </mergeCells>
  <printOptions/>
  <pageMargins left="0.6299212598425197" right="0.31496062992125984" top="0.5511811023622047" bottom="0.010416666666666666" header="0.5118110236220472" footer="0.70866141732283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view="pageLayout" zoomScale="85" zoomScaleNormal="85" zoomScaleSheetLayoutView="85" zoomScalePageLayoutView="85" workbookViewId="0" topLeftCell="A1">
      <selection activeCell="A5" sqref="A5"/>
    </sheetView>
  </sheetViews>
  <sheetFormatPr defaultColWidth="9.00390625" defaultRowHeight="16.5"/>
  <cols>
    <col min="1" max="1" width="31.125" style="79" customWidth="1"/>
    <col min="2" max="5" width="15.25390625" style="79" customWidth="1"/>
    <col min="6" max="6" width="15.875" style="79" customWidth="1"/>
    <col min="7" max="9" width="13.625" style="79" customWidth="1"/>
    <col min="10" max="10" width="15.75390625" style="79" customWidth="1"/>
    <col min="11" max="12" width="16.375" style="79" customWidth="1"/>
    <col min="13" max="16384" width="9.00390625" style="79" customWidth="1"/>
  </cols>
  <sheetData>
    <row r="1" spans="1:11" s="80" customFormat="1" ht="20.25" customHeight="1">
      <c r="A1" s="459" t="s">
        <v>290</v>
      </c>
      <c r="B1" s="463"/>
      <c r="C1" s="463"/>
      <c r="D1" s="463"/>
      <c r="E1" s="463"/>
      <c r="F1" s="459" t="s">
        <v>289</v>
      </c>
      <c r="G1" s="463"/>
      <c r="H1" s="463"/>
      <c r="I1" s="463"/>
      <c r="J1" s="463"/>
      <c r="K1" s="463"/>
    </row>
    <row r="2" spans="1:11" ht="3" customHeight="1">
      <c r="A2" s="11"/>
      <c r="B2" s="34"/>
      <c r="C2" s="34"/>
      <c r="D2" s="34"/>
      <c r="E2" s="156"/>
      <c r="F2" s="4"/>
      <c r="G2" s="146"/>
      <c r="H2" s="34"/>
      <c r="I2" s="34"/>
      <c r="J2" s="11"/>
      <c r="K2" s="11"/>
    </row>
    <row r="3" spans="1:11" s="75" customFormat="1" ht="15" customHeight="1">
      <c r="A3" s="465" t="s">
        <v>831</v>
      </c>
      <c r="B3" s="466"/>
      <c r="C3" s="466"/>
      <c r="D3" s="466"/>
      <c r="E3" s="466"/>
      <c r="F3" s="466" t="s">
        <v>832</v>
      </c>
      <c r="G3" s="466"/>
      <c r="H3" s="466"/>
      <c r="I3" s="466"/>
      <c r="J3" s="466"/>
      <c r="K3" s="466"/>
    </row>
    <row r="4" spans="1:11" ht="4.5" customHeight="1">
      <c r="A4" s="337"/>
      <c r="B4" s="232"/>
      <c r="C4" s="232"/>
      <c r="D4" s="232"/>
      <c r="E4" s="232"/>
      <c r="F4" s="232"/>
      <c r="G4" s="232"/>
      <c r="H4" s="232"/>
      <c r="I4" s="108"/>
      <c r="J4" s="108"/>
      <c r="K4" s="108"/>
    </row>
    <row r="5" spans="1:11" s="40" customFormat="1" ht="30.75" customHeight="1">
      <c r="A5" s="643" t="s">
        <v>313</v>
      </c>
      <c r="B5" s="335" t="s">
        <v>465</v>
      </c>
      <c r="C5" s="335" t="s">
        <v>466</v>
      </c>
      <c r="D5" s="335" t="s">
        <v>467</v>
      </c>
      <c r="E5" s="335" t="s">
        <v>468</v>
      </c>
      <c r="F5" s="326" t="s">
        <v>469</v>
      </c>
      <c r="G5" s="336" t="s">
        <v>470</v>
      </c>
      <c r="H5" s="336" t="s">
        <v>471</v>
      </c>
      <c r="I5" s="336" t="s">
        <v>472</v>
      </c>
      <c r="J5" s="336" t="s">
        <v>473</v>
      </c>
      <c r="K5" s="336" t="s">
        <v>474</v>
      </c>
    </row>
    <row r="6" spans="1:11" ht="28.5" customHeight="1">
      <c r="A6" s="176" t="s">
        <v>867</v>
      </c>
      <c r="B6" s="162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27">
      <c r="A7" s="153" t="s">
        <v>656</v>
      </c>
      <c r="B7" s="160" t="s">
        <v>475</v>
      </c>
      <c r="C7" s="160" t="s">
        <v>91</v>
      </c>
      <c r="D7" s="160" t="s">
        <v>91</v>
      </c>
      <c r="E7" s="160" t="s">
        <v>91</v>
      </c>
      <c r="F7" s="160" t="s">
        <v>91</v>
      </c>
      <c r="G7" s="160" t="s">
        <v>91</v>
      </c>
      <c r="H7" s="160" t="s">
        <v>91</v>
      </c>
      <c r="I7" s="160" t="s">
        <v>91</v>
      </c>
      <c r="J7" s="160" t="s">
        <v>91</v>
      </c>
      <c r="K7" s="160" t="s">
        <v>91</v>
      </c>
    </row>
    <row r="8" spans="1:11" ht="39.75">
      <c r="A8" s="153" t="s">
        <v>1006</v>
      </c>
      <c r="B8" s="159" t="s">
        <v>92</v>
      </c>
      <c r="C8" s="160" t="s">
        <v>93</v>
      </c>
      <c r="D8" s="160" t="s">
        <v>93</v>
      </c>
      <c r="E8" s="160" t="s">
        <v>93</v>
      </c>
      <c r="F8" s="160" t="s">
        <v>93</v>
      </c>
      <c r="G8" s="160" t="s">
        <v>93</v>
      </c>
      <c r="H8" s="160" t="s">
        <v>93</v>
      </c>
      <c r="I8" s="160" t="s">
        <v>93</v>
      </c>
      <c r="J8" s="160" t="s">
        <v>93</v>
      </c>
      <c r="K8" s="160" t="s">
        <v>93</v>
      </c>
    </row>
    <row r="9" spans="1:11" ht="39.75">
      <c r="A9" s="153" t="s">
        <v>88</v>
      </c>
      <c r="B9" s="159" t="s">
        <v>92</v>
      </c>
      <c r="C9" s="160" t="s">
        <v>93</v>
      </c>
      <c r="D9" s="160" t="s">
        <v>93</v>
      </c>
      <c r="E9" s="160" t="s">
        <v>93</v>
      </c>
      <c r="F9" s="160" t="s">
        <v>93</v>
      </c>
      <c r="G9" s="160" t="s">
        <v>93</v>
      </c>
      <c r="H9" s="160" t="s">
        <v>93</v>
      </c>
      <c r="I9" s="160" t="s">
        <v>93</v>
      </c>
      <c r="J9" s="160" t="s">
        <v>93</v>
      </c>
      <c r="K9" s="160" t="s">
        <v>93</v>
      </c>
    </row>
    <row r="10" spans="1:11" ht="52.5">
      <c r="A10" s="153" t="s">
        <v>19</v>
      </c>
      <c r="B10" s="159" t="s">
        <v>92</v>
      </c>
      <c r="C10" s="160" t="s">
        <v>93</v>
      </c>
      <c r="D10" s="160" t="s">
        <v>93</v>
      </c>
      <c r="E10" s="160" t="s">
        <v>93</v>
      </c>
      <c r="F10" s="160" t="s">
        <v>93</v>
      </c>
      <c r="G10" s="160" t="s">
        <v>93</v>
      </c>
      <c r="H10" s="160" t="s">
        <v>93</v>
      </c>
      <c r="I10" s="160" t="s">
        <v>93</v>
      </c>
      <c r="J10" s="160" t="s">
        <v>37</v>
      </c>
      <c r="K10" s="160" t="s">
        <v>155</v>
      </c>
    </row>
    <row r="11" spans="1:11" ht="39.75">
      <c r="A11" s="153" t="s">
        <v>1001</v>
      </c>
      <c r="B11" s="160" t="s">
        <v>475</v>
      </c>
      <c r="C11" s="160" t="s">
        <v>475</v>
      </c>
      <c r="D11" s="160" t="s">
        <v>475</v>
      </c>
      <c r="E11" s="160" t="s">
        <v>475</v>
      </c>
      <c r="F11" s="160" t="s">
        <v>475</v>
      </c>
      <c r="G11" s="160" t="s">
        <v>475</v>
      </c>
      <c r="H11" s="160" t="s">
        <v>156</v>
      </c>
      <c r="I11" s="160" t="s">
        <v>156</v>
      </c>
      <c r="J11" s="160" t="s">
        <v>156</v>
      </c>
      <c r="K11" s="160" t="s">
        <v>156</v>
      </c>
    </row>
    <row r="12" spans="1:11" ht="9.75" customHeight="1">
      <c r="A12" s="175"/>
      <c r="B12" s="159"/>
      <c r="C12" s="160"/>
      <c r="D12" s="160"/>
      <c r="E12" s="160"/>
      <c r="F12" s="160"/>
      <c r="G12" s="160"/>
      <c r="H12" s="11"/>
      <c r="I12" s="11"/>
      <c r="J12" s="11"/>
      <c r="K12" s="11"/>
    </row>
    <row r="13" spans="1:11" ht="39.75">
      <c r="A13" s="176" t="s">
        <v>20</v>
      </c>
      <c r="B13" s="162" t="s">
        <v>94</v>
      </c>
      <c r="C13" s="163" t="s">
        <v>94</v>
      </c>
      <c r="D13" s="163" t="s">
        <v>94</v>
      </c>
      <c r="E13" s="163" t="s">
        <v>94</v>
      </c>
      <c r="F13" s="163" t="s">
        <v>95</v>
      </c>
      <c r="G13" s="163" t="s">
        <v>95</v>
      </c>
      <c r="H13" s="163" t="s">
        <v>95</v>
      </c>
      <c r="I13" s="163" t="s">
        <v>95</v>
      </c>
      <c r="J13" s="163" t="s">
        <v>95</v>
      </c>
      <c r="K13" s="163" t="s">
        <v>95</v>
      </c>
    </row>
    <row r="14" spans="1:11" ht="9.75" customHeight="1">
      <c r="A14" s="46"/>
      <c r="B14" s="258"/>
      <c r="C14" s="1"/>
      <c r="D14" s="1"/>
      <c r="E14" s="1"/>
      <c r="F14" s="1"/>
      <c r="G14" s="1"/>
      <c r="H14" s="259"/>
      <c r="I14" s="259"/>
      <c r="J14" s="259"/>
      <c r="K14" s="259"/>
    </row>
    <row r="15" spans="1:11" ht="27">
      <c r="A15" s="176" t="s">
        <v>860</v>
      </c>
      <c r="B15" s="162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1:11" ht="15.75">
      <c r="A16" s="153" t="s">
        <v>868</v>
      </c>
      <c r="B16" s="159" t="s">
        <v>475</v>
      </c>
      <c r="C16" s="160" t="s">
        <v>96</v>
      </c>
      <c r="D16" s="160" t="s">
        <v>96</v>
      </c>
      <c r="E16" s="160" t="s">
        <v>97</v>
      </c>
      <c r="F16" s="160" t="s">
        <v>97</v>
      </c>
      <c r="G16" s="160" t="s">
        <v>97</v>
      </c>
      <c r="H16" s="160" t="s">
        <v>97</v>
      </c>
      <c r="I16" s="160" t="s">
        <v>97</v>
      </c>
      <c r="J16" s="160" t="s">
        <v>97</v>
      </c>
      <c r="K16" s="160" t="s">
        <v>97</v>
      </c>
    </row>
    <row r="17" spans="1:11" ht="39.75">
      <c r="A17" s="153" t="s">
        <v>1008</v>
      </c>
      <c r="B17" s="159" t="s">
        <v>96</v>
      </c>
      <c r="C17" s="160" t="s">
        <v>96</v>
      </c>
      <c r="D17" s="160" t="s">
        <v>96</v>
      </c>
      <c r="E17" s="160" t="s">
        <v>475</v>
      </c>
      <c r="F17" s="160" t="s">
        <v>97</v>
      </c>
      <c r="G17" s="160" t="s">
        <v>97</v>
      </c>
      <c r="H17" s="160" t="s">
        <v>97</v>
      </c>
      <c r="I17" s="160" t="s">
        <v>291</v>
      </c>
      <c r="J17" s="160" t="s">
        <v>291</v>
      </c>
      <c r="K17" s="160" t="s">
        <v>291</v>
      </c>
    </row>
    <row r="18" spans="1:11" ht="27">
      <c r="A18" s="153" t="s">
        <v>22</v>
      </c>
      <c r="B18" s="159" t="s">
        <v>475</v>
      </c>
      <c r="C18" s="160" t="s">
        <v>475</v>
      </c>
      <c r="D18" s="160" t="s">
        <v>475</v>
      </c>
      <c r="E18" s="160" t="s">
        <v>475</v>
      </c>
      <c r="F18" s="160" t="s">
        <v>97</v>
      </c>
      <c r="G18" s="160" t="s">
        <v>97</v>
      </c>
      <c r="H18" s="160" t="s">
        <v>97</v>
      </c>
      <c r="I18" s="160" t="s">
        <v>291</v>
      </c>
      <c r="J18" s="160" t="s">
        <v>291</v>
      </c>
      <c r="K18" s="160" t="s">
        <v>291</v>
      </c>
    </row>
    <row r="19" spans="1:11" ht="15.75">
      <c r="A19" s="153"/>
      <c r="B19" s="159"/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1" ht="39.75">
      <c r="A20" s="176" t="s">
        <v>870</v>
      </c>
      <c r="B20" s="260"/>
      <c r="C20" s="261"/>
      <c r="D20" s="261"/>
      <c r="E20" s="261"/>
      <c r="F20" s="261"/>
      <c r="G20" s="261"/>
      <c r="H20" s="261"/>
      <c r="I20" s="261"/>
      <c r="J20" s="261" t="s">
        <v>186</v>
      </c>
      <c r="K20" s="261" t="s">
        <v>187</v>
      </c>
    </row>
    <row r="21" spans="1:11" s="85" customFormat="1" ht="9.75" customHeight="1">
      <c r="A21" s="106"/>
      <c r="B21" s="258"/>
      <c r="C21" s="1"/>
      <c r="D21" s="1"/>
      <c r="E21" s="1"/>
      <c r="F21" s="1"/>
      <c r="G21" s="1"/>
      <c r="H21" s="1"/>
      <c r="I21" s="1"/>
      <c r="J21" s="1"/>
      <c r="K21" s="1"/>
    </row>
    <row r="22" spans="1:11" ht="27">
      <c r="A22" s="176" t="s">
        <v>869</v>
      </c>
      <c r="B22" s="162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1:11" ht="15.75">
      <c r="A23" s="153" t="s">
        <v>89</v>
      </c>
      <c r="B23" s="159" t="s">
        <v>98</v>
      </c>
      <c r="C23" s="160" t="s">
        <v>98</v>
      </c>
      <c r="D23" s="160" t="s">
        <v>98</v>
      </c>
      <c r="E23" s="160" t="s">
        <v>97</v>
      </c>
      <c r="F23" s="160" t="s">
        <v>97</v>
      </c>
      <c r="G23" s="160" t="s">
        <v>97</v>
      </c>
      <c r="H23" s="160" t="s">
        <v>97</v>
      </c>
      <c r="I23" s="160" t="s">
        <v>475</v>
      </c>
      <c r="J23" s="160" t="s">
        <v>475</v>
      </c>
      <c r="K23" s="160" t="s">
        <v>475</v>
      </c>
    </row>
    <row r="24" spans="1:11" ht="15.75">
      <c r="A24" s="153" t="s">
        <v>861</v>
      </c>
      <c r="B24" s="159" t="s">
        <v>96</v>
      </c>
      <c r="C24" s="160" t="s">
        <v>96</v>
      </c>
      <c r="D24" s="160" t="s">
        <v>96</v>
      </c>
      <c r="E24" s="160" t="s">
        <v>96</v>
      </c>
      <c r="F24" s="160" t="s">
        <v>97</v>
      </c>
      <c r="G24" s="160" t="s">
        <v>97</v>
      </c>
      <c r="H24" s="160" t="s">
        <v>97</v>
      </c>
      <c r="I24" s="160" t="s">
        <v>475</v>
      </c>
      <c r="J24" s="160" t="s">
        <v>97</v>
      </c>
      <c r="K24" s="160" t="s">
        <v>97</v>
      </c>
    </row>
    <row r="25" spans="1:11" ht="27">
      <c r="A25" s="153" t="s">
        <v>23</v>
      </c>
      <c r="B25" s="159" t="s">
        <v>96</v>
      </c>
      <c r="C25" s="160" t="s">
        <v>96</v>
      </c>
      <c r="D25" s="160" t="s">
        <v>96</v>
      </c>
      <c r="E25" s="160" t="s">
        <v>96</v>
      </c>
      <c r="F25" s="160" t="s">
        <v>99</v>
      </c>
      <c r="G25" s="160" t="s">
        <v>97</v>
      </c>
      <c r="H25" s="160" t="s">
        <v>97</v>
      </c>
      <c r="I25" s="160" t="s">
        <v>97</v>
      </c>
      <c r="J25" s="160" t="s">
        <v>97</v>
      </c>
      <c r="K25" s="160" t="s">
        <v>97</v>
      </c>
    </row>
    <row r="26" spans="1:11" ht="27">
      <c r="A26" s="153" t="s">
        <v>24</v>
      </c>
      <c r="B26" s="160" t="s">
        <v>96</v>
      </c>
      <c r="C26" s="160" t="s">
        <v>96</v>
      </c>
      <c r="D26" s="160" t="s">
        <v>96</v>
      </c>
      <c r="E26" s="160" t="s">
        <v>96</v>
      </c>
      <c r="F26" s="160" t="s">
        <v>99</v>
      </c>
      <c r="G26" s="160" t="s">
        <v>97</v>
      </c>
      <c r="H26" s="160" t="s">
        <v>97</v>
      </c>
      <c r="I26" s="160" t="s">
        <v>97</v>
      </c>
      <c r="J26" s="160" t="s">
        <v>97</v>
      </c>
      <c r="K26" s="160" t="s">
        <v>97</v>
      </c>
    </row>
    <row r="27" spans="1:11" ht="39.75">
      <c r="A27" s="338" t="s">
        <v>25</v>
      </c>
      <c r="B27" s="232" t="s">
        <v>100</v>
      </c>
      <c r="C27" s="232" t="s">
        <v>100</v>
      </c>
      <c r="D27" s="232" t="s">
        <v>100</v>
      </c>
      <c r="E27" s="232" t="s">
        <v>100</v>
      </c>
      <c r="F27" s="232" t="s">
        <v>100</v>
      </c>
      <c r="G27" s="232" t="s">
        <v>100</v>
      </c>
      <c r="H27" s="232" t="s">
        <v>100</v>
      </c>
      <c r="I27" s="232" t="s">
        <v>100</v>
      </c>
      <c r="J27" s="232" t="s">
        <v>100</v>
      </c>
      <c r="K27" s="232" t="s">
        <v>100</v>
      </c>
    </row>
    <row r="29" spans="1:11" ht="69" customHeight="1">
      <c r="A29" s="467" t="s">
        <v>188</v>
      </c>
      <c r="B29" s="468"/>
      <c r="C29" s="468"/>
      <c r="D29" s="468"/>
      <c r="E29" s="468"/>
      <c r="F29" s="469" t="s">
        <v>268</v>
      </c>
      <c r="G29" s="470"/>
      <c r="H29" s="470"/>
      <c r="I29" s="470"/>
      <c r="J29" s="470"/>
      <c r="K29" s="470"/>
    </row>
    <row r="33" spans="1:11" ht="15.75">
      <c r="A33" s="458" t="str">
        <f>"- "&amp;Sheet1!H25&amp;" -"</f>
        <v>- 154 -</v>
      </c>
      <c r="B33" s="458"/>
      <c r="C33" s="458"/>
      <c r="D33" s="458"/>
      <c r="E33" s="458"/>
      <c r="F33" s="458" t="str">
        <f>"- "&amp;Sheet1!I25&amp;" -"</f>
        <v>- 155 -</v>
      </c>
      <c r="G33" s="458"/>
      <c r="H33" s="458"/>
      <c r="I33" s="458"/>
      <c r="J33" s="458"/>
      <c r="K33" s="458"/>
    </row>
    <row r="44" ht="15.75">
      <c r="A44" s="328"/>
    </row>
    <row r="49" spans="4:5" ht="19.5">
      <c r="D49" s="43"/>
      <c r="E49" s="44"/>
    </row>
  </sheetData>
  <sheetProtection/>
  <mergeCells count="8">
    <mergeCell ref="F33:K33"/>
    <mergeCell ref="A33:E33"/>
    <mergeCell ref="A1:E1"/>
    <mergeCell ref="F1:K1"/>
    <mergeCell ref="A3:E3"/>
    <mergeCell ref="F3:K3"/>
    <mergeCell ref="A29:E29"/>
    <mergeCell ref="F29:K29"/>
  </mergeCells>
  <printOptions/>
  <pageMargins left="0.6299212598425197" right="0.31496062992125984" top="0.3937007874015748" bottom="0.012254901960784314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k-XP</cp:lastModifiedBy>
  <cp:lastPrinted>2012-11-29T09:46:17Z</cp:lastPrinted>
  <dcterms:created xsi:type="dcterms:W3CDTF">1997-01-14T01:50:29Z</dcterms:created>
  <dcterms:modified xsi:type="dcterms:W3CDTF">2012-11-29T09:46:29Z</dcterms:modified>
  <cp:category/>
  <cp:version/>
  <cp:contentType/>
  <cp:contentStatus/>
</cp:coreProperties>
</file>